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pulseUSR394.SPLS\Desktop\HPリニューアル後\リーグ戦\木曜リーグ\"/>
    </mc:Choice>
  </mc:AlternateContent>
  <xr:revisionPtr revIDLastSave="0" documentId="13_ncr:1_{95F0FB6B-F007-457A-98CB-133F5598E873}" xr6:coauthVersionLast="47" xr6:coauthVersionMax="47" xr10:uidLastSave="{00000000-0000-0000-0000-000000000000}"/>
  <workbookProtection workbookAlgorithmName="SHA-512" workbookHashValue="xy9rnDeYev/bQukB4AptuW3kyvT6hBS+0H4knNvkJO4vUdrIhuelPeUjfQGCICyMWNpdFFs2kkq4Z2xdF27Gaw==" workbookSaltValue="FO4j8MqrgpKZqIg5gRgy3w==" workbookSpinCount="100000" lockStructure="1"/>
  <bookViews>
    <workbookView xWindow="-120" yWindow="-120" windowWidth="20730" windowHeight="11160" firstSheet="1" activeTab="1" xr2:uid="{00000000-000D-0000-FFFF-FFFF00000000}"/>
  </bookViews>
  <sheets>
    <sheet name="対戦表 (手動)" sheetId="16" r:id="rId1"/>
    <sheet name="対戦表 (HP用)" sheetId="15" r:id="rId2"/>
    <sheet name="対戦表" sheetId="8" r:id="rId3"/>
    <sheet name="5チーム2回戦総当たり結果記入用" sheetId="9" r:id="rId4"/>
    <sheet name="記録用紙" sheetId="7" r:id="rId5"/>
    <sheet name="参加料受領確認書" sheetId="5" r:id="rId6"/>
    <sheet name="5チーム2回戦総当たり日程表(HP用)" sheetId="14" r:id="rId7"/>
    <sheet name="5チーム2回戦総当たり日程表(配布用)" sheetId="12" r:id="rId8"/>
    <sheet name="5チーム2回戦総当たりスケジュール作業表" sheetId="2" r:id="rId9"/>
    <sheet name="スケジュール作成上の注意" sheetId="10" r:id="rId10"/>
  </sheets>
  <definedNames>
    <definedName name="_xlnm._FilterDatabase" localSheetId="2" hidden="1">対戦表!$A$1:$AL$37</definedName>
    <definedName name="_xlnm._FilterDatabase" localSheetId="1" hidden="1">'対戦表 (HP用)'!$A$1:$AL$37</definedName>
    <definedName name="_xlnm._FilterDatabase" localSheetId="0" hidden="1">'対戦表 (手動)'!$A$1:$AL$37</definedName>
    <definedName name="_xlnm.Print_Area" localSheetId="6">'5チーム2回戦総当たり日程表(HP用)'!$A$1:$J$27</definedName>
    <definedName name="_xlnm.Print_Area" localSheetId="7">'5チーム2回戦総当たり日程表(配布用)'!$A$1:$J$31</definedName>
    <definedName name="_xlnm.Print_Area" localSheetId="2">対戦表!$A$1:$AL$40</definedName>
    <definedName name="_xlnm.Print_Area" localSheetId="1">'対戦表 (HP用)'!$A$1:$AL$40</definedName>
    <definedName name="_xlnm.Print_Area" localSheetId="0">'対戦表 (手動)'!$A$1:$AL$40</definedName>
  </definedNames>
  <calcPr calcId="191029"/>
</workbook>
</file>

<file path=xl/calcChain.xml><?xml version="1.0" encoding="utf-8"?>
<calcChain xmlns="http://schemas.openxmlformats.org/spreadsheetml/2006/main">
  <c r="C60" i="9" l="1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4" i="9"/>
  <c r="A27" i="7"/>
  <c r="A5" i="7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5" i="12"/>
  <c r="C5" i="14"/>
  <c r="J2" i="12"/>
  <c r="D2" i="12"/>
  <c r="AE38" i="16"/>
  <c r="BV37" i="16"/>
  <c r="BW37" i="16" s="1"/>
  <c r="BW36" i="16"/>
  <c r="BV36" i="16"/>
  <c r="BV35" i="16"/>
  <c r="BW35" i="16" s="1"/>
  <c r="A35" i="16"/>
  <c r="S4" i="16" s="1"/>
  <c r="AE32" i="16"/>
  <c r="BW31" i="16"/>
  <c r="BV31" i="16"/>
  <c r="BV30" i="16"/>
  <c r="BW30" i="16" s="1"/>
  <c r="BV29" i="16"/>
  <c r="BW29" i="16" s="1"/>
  <c r="BX29" i="16" s="1"/>
  <c r="CA29" i="16" s="1"/>
  <c r="A29" i="16"/>
  <c r="AE29" i="16" s="1"/>
  <c r="AE26" i="16"/>
  <c r="BW25" i="16"/>
  <c r="BV25" i="16"/>
  <c r="BW24" i="16"/>
  <c r="BV24" i="16"/>
  <c r="BW23" i="16"/>
  <c r="BX23" i="16" s="1"/>
  <c r="CA23" i="16" s="1"/>
  <c r="BV23" i="16"/>
  <c r="A23" i="16"/>
  <c r="AE23" i="16" s="1"/>
  <c r="AE20" i="16"/>
  <c r="BV19" i="16"/>
  <c r="BW19" i="16" s="1"/>
  <c r="BW18" i="16"/>
  <c r="BV18" i="16"/>
  <c r="BV17" i="16"/>
  <c r="BW17" i="16" s="1"/>
  <c r="BX17" i="16" s="1"/>
  <c r="CA17" i="16" s="1"/>
  <c r="A17" i="16"/>
  <c r="AE17" i="16" s="1"/>
  <c r="BW13" i="16"/>
  <c r="BV13" i="16"/>
  <c r="BW12" i="16"/>
  <c r="BV12" i="16"/>
  <c r="BW11" i="16"/>
  <c r="BX11" i="16" s="1"/>
  <c r="CA11" i="16" s="1"/>
  <c r="BV11" i="16"/>
  <c r="A11" i="16"/>
  <c r="AE11" i="16" s="1"/>
  <c r="A9" i="16"/>
  <c r="H2" i="16"/>
  <c r="A2" i="16"/>
  <c r="A1" i="16"/>
  <c r="H2" i="8"/>
  <c r="H2" i="15"/>
  <c r="A2" i="8"/>
  <c r="A2" i="15"/>
  <c r="A1" i="8"/>
  <c r="A1" i="15"/>
  <c r="A11" i="8"/>
  <c r="A11" i="15"/>
  <c r="AE11" i="15" s="1"/>
  <c r="BJ37" i="8"/>
  <c r="BI37" i="8"/>
  <c r="BH37" i="8"/>
  <c r="BG37" i="8"/>
  <c r="BF37" i="8"/>
  <c r="BE37" i="8"/>
  <c r="BD37" i="8"/>
  <c r="BC37" i="8"/>
  <c r="BB37" i="8"/>
  <c r="BA37" i="8"/>
  <c r="BJ36" i="8"/>
  <c r="BI36" i="8"/>
  <c r="BH36" i="8"/>
  <c r="BG36" i="8"/>
  <c r="BF36" i="8"/>
  <c r="BE36" i="8"/>
  <c r="BD36" i="8"/>
  <c r="BC36" i="8"/>
  <c r="BB36" i="8"/>
  <c r="BA36" i="8"/>
  <c r="BJ35" i="8"/>
  <c r="BI35" i="8"/>
  <c r="BH35" i="8"/>
  <c r="BG35" i="8"/>
  <c r="BF35" i="8"/>
  <c r="BE35" i="8"/>
  <c r="BD35" i="8"/>
  <c r="BC35" i="8"/>
  <c r="BB35" i="8"/>
  <c r="BA35" i="8"/>
  <c r="BJ31" i="8"/>
  <c r="BI31" i="8"/>
  <c r="BH31" i="8"/>
  <c r="BG31" i="8"/>
  <c r="BF31" i="8"/>
  <c r="BE31" i="8"/>
  <c r="BD31" i="8"/>
  <c r="BC31" i="8"/>
  <c r="BB31" i="8"/>
  <c r="BA31" i="8"/>
  <c r="BJ30" i="8"/>
  <c r="BI30" i="8"/>
  <c r="BH30" i="8"/>
  <c r="BG30" i="8"/>
  <c r="BF30" i="8"/>
  <c r="BE30" i="8"/>
  <c r="BD30" i="8"/>
  <c r="BC30" i="8"/>
  <c r="BB30" i="8"/>
  <c r="BA30" i="8"/>
  <c r="BJ29" i="8"/>
  <c r="BI29" i="8"/>
  <c r="BH29" i="8"/>
  <c r="BG29" i="8"/>
  <c r="BF29" i="8"/>
  <c r="BE29" i="8"/>
  <c r="BD29" i="8"/>
  <c r="BC29" i="8"/>
  <c r="BB29" i="8"/>
  <c r="BA29" i="8"/>
  <c r="BJ25" i="8"/>
  <c r="BI25" i="8"/>
  <c r="BH25" i="8"/>
  <c r="BG25" i="8"/>
  <c r="BF25" i="8"/>
  <c r="BE25" i="8"/>
  <c r="BD25" i="8"/>
  <c r="BC25" i="8"/>
  <c r="BB25" i="8"/>
  <c r="BA25" i="8"/>
  <c r="BJ24" i="8"/>
  <c r="BI24" i="8"/>
  <c r="BH24" i="8"/>
  <c r="BG24" i="8"/>
  <c r="BF24" i="8"/>
  <c r="BE24" i="8"/>
  <c r="BD24" i="8"/>
  <c r="BC24" i="8"/>
  <c r="BB24" i="8"/>
  <c r="BA24" i="8"/>
  <c r="BJ23" i="8"/>
  <c r="BI23" i="8"/>
  <c r="BH23" i="8"/>
  <c r="BG23" i="8"/>
  <c r="BF23" i="8"/>
  <c r="BE23" i="8"/>
  <c r="BD23" i="8"/>
  <c r="BC23" i="8"/>
  <c r="BB23" i="8"/>
  <c r="BA23" i="8"/>
  <c r="BJ19" i="8"/>
  <c r="BI19" i="8"/>
  <c r="BH19" i="8"/>
  <c r="BG19" i="8"/>
  <c r="BF19" i="8"/>
  <c r="BE19" i="8"/>
  <c r="BD19" i="8"/>
  <c r="BC19" i="8"/>
  <c r="BB19" i="8"/>
  <c r="BA19" i="8"/>
  <c r="BJ18" i="8"/>
  <c r="BI18" i="8"/>
  <c r="BH18" i="8"/>
  <c r="BG18" i="8"/>
  <c r="BF18" i="8"/>
  <c r="BE18" i="8"/>
  <c r="BD18" i="8"/>
  <c r="BC18" i="8"/>
  <c r="BB18" i="8"/>
  <c r="BA18" i="8"/>
  <c r="BJ17" i="8"/>
  <c r="BI17" i="8"/>
  <c r="BH17" i="8"/>
  <c r="BG17" i="8"/>
  <c r="BF17" i="8"/>
  <c r="BE17" i="8"/>
  <c r="BD17" i="8"/>
  <c r="BC17" i="8"/>
  <c r="BB17" i="8"/>
  <c r="BA17" i="8"/>
  <c r="BJ13" i="8"/>
  <c r="BI13" i="8"/>
  <c r="BH13" i="8"/>
  <c r="BG13" i="8"/>
  <c r="BF13" i="8"/>
  <c r="BE13" i="8"/>
  <c r="BD13" i="8"/>
  <c r="BC13" i="8"/>
  <c r="BB13" i="8"/>
  <c r="BA13" i="8"/>
  <c r="BJ12" i="8"/>
  <c r="BI12" i="8"/>
  <c r="BH12" i="8"/>
  <c r="BG12" i="8"/>
  <c r="BF12" i="8"/>
  <c r="BE12" i="8"/>
  <c r="BD12" i="8"/>
  <c r="BC12" i="8"/>
  <c r="BB12" i="8"/>
  <c r="BA12" i="8"/>
  <c r="BJ11" i="8"/>
  <c r="BI11" i="8"/>
  <c r="BH11" i="8"/>
  <c r="BG11" i="8"/>
  <c r="BF11" i="8"/>
  <c r="BE11" i="8"/>
  <c r="BD11" i="8"/>
  <c r="BC11" i="8"/>
  <c r="BB11" i="8"/>
  <c r="BA11" i="8"/>
  <c r="AE38" i="15"/>
  <c r="BW37" i="15"/>
  <c r="BV37" i="15"/>
  <c r="BW36" i="15"/>
  <c r="BV36" i="15"/>
  <c r="BV35" i="15"/>
  <c r="BW35" i="15" s="1"/>
  <c r="BX35" i="15" s="1"/>
  <c r="CA35" i="15" s="1"/>
  <c r="A35" i="15"/>
  <c r="S4" i="15" s="1"/>
  <c r="AE32" i="15"/>
  <c r="BW31" i="15"/>
  <c r="BV31" i="15"/>
  <c r="BV30" i="15"/>
  <c r="BW30" i="15" s="1"/>
  <c r="BV29" i="15"/>
  <c r="BW29" i="15" s="1"/>
  <c r="BX29" i="15" s="1"/>
  <c r="CA29" i="15" s="1"/>
  <c r="A29" i="15"/>
  <c r="P4" i="15" s="1"/>
  <c r="AE26" i="15"/>
  <c r="BW25" i="15"/>
  <c r="BV25" i="15"/>
  <c r="BV24" i="15"/>
  <c r="BW24" i="15" s="1"/>
  <c r="BV23" i="15"/>
  <c r="BW23" i="15" s="1"/>
  <c r="BX23" i="15" s="1"/>
  <c r="CA23" i="15" s="1"/>
  <c r="A23" i="15"/>
  <c r="AE23" i="15" s="1"/>
  <c r="AE20" i="15"/>
  <c r="BV19" i="15"/>
  <c r="BW19" i="15" s="1"/>
  <c r="BV18" i="15"/>
  <c r="BW18" i="15" s="1"/>
  <c r="BV17" i="15"/>
  <c r="BW17" i="15" s="1"/>
  <c r="A17" i="15"/>
  <c r="AE17" i="15" s="1"/>
  <c r="BV13" i="15"/>
  <c r="BW13" i="15" s="1"/>
  <c r="BV12" i="15"/>
  <c r="BW12" i="15" s="1"/>
  <c r="BV11" i="15"/>
  <c r="BW11" i="15" s="1"/>
  <c r="A9" i="15"/>
  <c r="I14" i="12"/>
  <c r="I14" i="14"/>
  <c r="G14" i="12"/>
  <c r="G14" i="14"/>
  <c r="F14" i="12"/>
  <c r="F14" i="14"/>
  <c r="D14" i="12"/>
  <c r="D14" i="14"/>
  <c r="J14" i="12"/>
  <c r="J14" i="14"/>
  <c r="J2" i="14"/>
  <c r="A2" i="14"/>
  <c r="A1" i="12"/>
  <c r="A1" i="14"/>
  <c r="A2" i="12"/>
  <c r="D2" i="14"/>
  <c r="AE35" i="16" l="1"/>
  <c r="P4" i="16"/>
  <c r="M4" i="15"/>
  <c r="J4" i="15"/>
  <c r="J4" i="16"/>
  <c r="G4" i="16"/>
  <c r="CB17" i="16"/>
  <c r="AL17" i="16" s="1"/>
  <c r="BX35" i="16"/>
  <c r="CA35" i="16" s="1"/>
  <c r="CB35" i="16" s="1"/>
  <c r="CB11" i="16"/>
  <c r="AL11" i="16" s="1"/>
  <c r="M4" i="16"/>
  <c r="AL35" i="16"/>
  <c r="BX17" i="15"/>
  <c r="CA17" i="15" s="1"/>
  <c r="BX11" i="15"/>
  <c r="CA11" i="15" s="1"/>
  <c r="G4" i="15"/>
  <c r="AE35" i="15"/>
  <c r="AE29" i="15"/>
  <c r="A23" i="14"/>
  <c r="J22" i="14"/>
  <c r="I22" i="14"/>
  <c r="G22" i="14"/>
  <c r="F22" i="14"/>
  <c r="D22" i="14"/>
  <c r="A21" i="14"/>
  <c r="J20" i="14"/>
  <c r="I20" i="14"/>
  <c r="G20" i="14"/>
  <c r="F20" i="14"/>
  <c r="D20" i="14"/>
  <c r="A19" i="14"/>
  <c r="J18" i="14"/>
  <c r="I18" i="14"/>
  <c r="G18" i="14"/>
  <c r="F18" i="14"/>
  <c r="D18" i="14"/>
  <c r="A17" i="14"/>
  <c r="J16" i="14"/>
  <c r="I16" i="14"/>
  <c r="G16" i="14"/>
  <c r="F16" i="14"/>
  <c r="D16" i="14"/>
  <c r="A15" i="14"/>
  <c r="A13" i="14"/>
  <c r="J12" i="14"/>
  <c r="I12" i="14"/>
  <c r="G12" i="14"/>
  <c r="F12" i="14"/>
  <c r="D12" i="14"/>
  <c r="A11" i="14"/>
  <c r="J10" i="14"/>
  <c r="I10" i="14"/>
  <c r="G10" i="14"/>
  <c r="F10" i="14"/>
  <c r="D10" i="14"/>
  <c r="A9" i="14"/>
  <c r="J8" i="14"/>
  <c r="I8" i="14"/>
  <c r="G8" i="14"/>
  <c r="F8" i="14"/>
  <c r="D8" i="14"/>
  <c r="A7" i="14"/>
  <c r="J6" i="14"/>
  <c r="I6" i="14"/>
  <c r="G6" i="14"/>
  <c r="F6" i="14"/>
  <c r="D6" i="14"/>
  <c r="B5" i="14"/>
  <c r="A5" i="14"/>
  <c r="G4" i="14"/>
  <c r="D4" i="14"/>
  <c r="A4" i="14"/>
  <c r="H14" i="2"/>
  <c r="G14" i="2"/>
  <c r="G21" i="14" s="1"/>
  <c r="H12" i="2"/>
  <c r="I19" i="14" s="1"/>
  <c r="G12" i="2"/>
  <c r="G19" i="14" s="1"/>
  <c r="H13" i="2"/>
  <c r="G13" i="2"/>
  <c r="G11" i="2"/>
  <c r="G15" i="14" s="1"/>
  <c r="D14" i="2"/>
  <c r="F21" i="14" s="1"/>
  <c r="C14" i="2"/>
  <c r="D12" i="2"/>
  <c r="F19" i="14" s="1"/>
  <c r="C13" i="2"/>
  <c r="D13" i="2"/>
  <c r="F17" i="14" s="1"/>
  <c r="C11" i="2"/>
  <c r="D15" i="14" s="1"/>
  <c r="G9" i="2"/>
  <c r="H9" i="2"/>
  <c r="G7" i="2"/>
  <c r="H7" i="2"/>
  <c r="D9" i="2"/>
  <c r="C9" i="2"/>
  <c r="G11" i="14" s="1"/>
  <c r="G8" i="2"/>
  <c r="G9" i="14" s="1"/>
  <c r="C8" i="2"/>
  <c r="D9" i="14" s="1"/>
  <c r="H6" i="2"/>
  <c r="I5" i="14" s="1"/>
  <c r="D6" i="2"/>
  <c r="F5" i="14" s="1"/>
  <c r="H8" i="2"/>
  <c r="I9" i="14" s="1"/>
  <c r="K12" i="2"/>
  <c r="J19" i="14" s="1"/>
  <c r="K11" i="2"/>
  <c r="J15" i="14" s="1"/>
  <c r="K8" i="2"/>
  <c r="J9" i="14" s="1"/>
  <c r="K6" i="2"/>
  <c r="J5" i="14" s="1"/>
  <c r="B7" i="2"/>
  <c r="CB17" i="15" l="1"/>
  <c r="AL17" i="15" s="1"/>
  <c r="G17" i="14"/>
  <c r="I17" i="14"/>
  <c r="D21" i="14"/>
  <c r="I21" i="14"/>
  <c r="F11" i="14"/>
  <c r="D11" i="14"/>
  <c r="I11" i="14"/>
  <c r="B8" i="2"/>
  <c r="B9" i="14" s="1"/>
  <c r="B7" i="14"/>
  <c r="CB29" i="16"/>
  <c r="AL29" i="16" s="1"/>
  <c r="CB23" i="16"/>
  <c r="AL23" i="16" s="1"/>
  <c r="CB35" i="15"/>
  <c r="AL35" i="15" s="1"/>
  <c r="CB29" i="15"/>
  <c r="AL29" i="15" s="1"/>
  <c r="CB11" i="15"/>
  <c r="AL11" i="15" s="1"/>
  <c r="CB23" i="15"/>
  <c r="AL23" i="15" s="1"/>
  <c r="AE38" i="8" l="1"/>
  <c r="AE32" i="8"/>
  <c r="AE26" i="8"/>
  <c r="AE20" i="8"/>
  <c r="A17" i="8"/>
  <c r="AE17" i="8" s="1"/>
  <c r="BV17" i="8"/>
  <c r="BW17" i="8" s="1"/>
  <c r="BV18" i="8"/>
  <c r="BW18" i="8" s="1"/>
  <c r="BV19" i="8"/>
  <c r="BW19" i="8" s="1"/>
  <c r="AP2" i="7"/>
  <c r="A23" i="12"/>
  <c r="A21" i="12"/>
  <c r="A19" i="12"/>
  <c r="A17" i="12"/>
  <c r="A15" i="12"/>
  <c r="J22" i="12"/>
  <c r="I22" i="12"/>
  <c r="G22" i="12"/>
  <c r="F22" i="12"/>
  <c r="D22" i="12"/>
  <c r="J20" i="12"/>
  <c r="I20" i="12"/>
  <c r="G20" i="12"/>
  <c r="F20" i="12"/>
  <c r="D20" i="12"/>
  <c r="J18" i="12"/>
  <c r="I18" i="12"/>
  <c r="G18" i="12"/>
  <c r="F18" i="12"/>
  <c r="D18" i="12"/>
  <c r="J16" i="12"/>
  <c r="I16" i="12"/>
  <c r="G16" i="12"/>
  <c r="F16" i="12"/>
  <c r="D16" i="12"/>
  <c r="L15" i="2"/>
  <c r="K15" i="2"/>
  <c r="G15" i="2"/>
  <c r="D23" i="14" s="1"/>
  <c r="H15" i="2"/>
  <c r="C15" i="2"/>
  <c r="D15" i="2"/>
  <c r="I23" i="14" s="1"/>
  <c r="L14" i="2"/>
  <c r="K14" i="2"/>
  <c r="I21" i="12"/>
  <c r="D21" i="12"/>
  <c r="F21" i="12"/>
  <c r="L13" i="2"/>
  <c r="J19" i="12"/>
  <c r="C12" i="2"/>
  <c r="D17" i="14" s="1"/>
  <c r="F19" i="12"/>
  <c r="L12" i="2"/>
  <c r="K13" i="2"/>
  <c r="I17" i="12"/>
  <c r="D17" i="12"/>
  <c r="F17" i="12"/>
  <c r="L11" i="2"/>
  <c r="J15" i="12"/>
  <c r="H11" i="2"/>
  <c r="I15" i="14" s="1"/>
  <c r="D15" i="12"/>
  <c r="D11" i="2"/>
  <c r="G23" i="14" l="1"/>
  <c r="F23" i="14"/>
  <c r="J21" i="12"/>
  <c r="J21" i="14"/>
  <c r="D19" i="12"/>
  <c r="D19" i="14"/>
  <c r="J17" i="12"/>
  <c r="J17" i="14"/>
  <c r="J23" i="12"/>
  <c r="J23" i="14"/>
  <c r="F15" i="12"/>
  <c r="F15" i="14"/>
  <c r="F23" i="12"/>
  <c r="D23" i="12"/>
  <c r="I23" i="12"/>
  <c r="I19" i="12"/>
  <c r="BX17" i="8"/>
  <c r="CA17" i="8" s="1"/>
  <c r="G15" i="12"/>
  <c r="G17" i="12"/>
  <c r="G19" i="12"/>
  <c r="G21" i="12"/>
  <c r="G23" i="12"/>
  <c r="I15" i="12"/>
  <c r="G6" i="2"/>
  <c r="G5" i="14" s="1"/>
  <c r="K9" i="2" l="1"/>
  <c r="J11" i="14" s="1"/>
  <c r="L9" i="2"/>
  <c r="L10" i="2"/>
  <c r="L7" i="2"/>
  <c r="L6" i="2"/>
  <c r="L8" i="2"/>
  <c r="K10" i="2"/>
  <c r="J13" i="14" s="1"/>
  <c r="C6" i="2"/>
  <c r="D5" i="14" s="1"/>
  <c r="G10" i="2"/>
  <c r="G13" i="14" s="1"/>
  <c r="C7" i="2"/>
  <c r="H10" i="2"/>
  <c r="I13" i="14" s="1"/>
  <c r="K7" i="2"/>
  <c r="J7" i="14" s="1"/>
  <c r="C10" i="2"/>
  <c r="D13" i="14" s="1"/>
  <c r="D7" i="2"/>
  <c r="D8" i="2"/>
  <c r="F9" i="14" s="1"/>
  <c r="D10" i="2"/>
  <c r="F13" i="14" s="1"/>
  <c r="G7" i="14" l="1"/>
  <c r="D7" i="14"/>
  <c r="I7" i="14"/>
  <c r="F7" i="14"/>
  <c r="G27" i="2"/>
  <c r="G26" i="2"/>
  <c r="G28" i="2"/>
  <c r="G30" i="2"/>
  <c r="K27" i="2"/>
  <c r="AP4" i="7"/>
  <c r="C30" i="2"/>
  <c r="C29" i="2"/>
  <c r="C28" i="2"/>
  <c r="C27" i="2"/>
  <c r="C26" i="2"/>
  <c r="G29" i="2"/>
  <c r="K26" i="2"/>
  <c r="K28" i="2"/>
  <c r="K30" i="2"/>
  <c r="K29" i="2"/>
  <c r="A13" i="12"/>
  <c r="J12" i="12"/>
  <c r="I12" i="12"/>
  <c r="G12" i="12"/>
  <c r="F12" i="12"/>
  <c r="D12" i="12"/>
  <c r="A11" i="12"/>
  <c r="J10" i="12"/>
  <c r="I10" i="12"/>
  <c r="G10" i="12"/>
  <c r="F10" i="12"/>
  <c r="D10" i="12"/>
  <c r="A9" i="12"/>
  <c r="J8" i="12"/>
  <c r="I8" i="12"/>
  <c r="G8" i="12"/>
  <c r="F8" i="12"/>
  <c r="D8" i="12"/>
  <c r="A7" i="12"/>
  <c r="J6" i="12"/>
  <c r="I6" i="12"/>
  <c r="G6" i="12"/>
  <c r="F6" i="12"/>
  <c r="D6" i="12"/>
  <c r="B5" i="12"/>
  <c r="A5" i="12"/>
  <c r="G4" i="12"/>
  <c r="D4" i="12"/>
  <c r="A4" i="12"/>
  <c r="A9" i="8" l="1"/>
  <c r="B7" i="12"/>
  <c r="I35" i="9"/>
  <c r="I9" i="12"/>
  <c r="G9" i="12"/>
  <c r="J11" i="12"/>
  <c r="L28" i="9"/>
  <c r="I7" i="12"/>
  <c r="G7" i="12"/>
  <c r="I11" i="12"/>
  <c r="G11" i="12"/>
  <c r="F11" i="12"/>
  <c r="D11" i="12"/>
  <c r="J13" i="12"/>
  <c r="I16" i="9"/>
  <c r="F7" i="12"/>
  <c r="D7" i="12"/>
  <c r="J5" i="12"/>
  <c r="AI4" i="9"/>
  <c r="AJ4" i="9"/>
  <c r="AJ11" i="9"/>
  <c r="AI11" i="9"/>
  <c r="AJ12" i="9"/>
  <c r="AI12" i="9"/>
  <c r="AJ25" i="9"/>
  <c r="AI25" i="9"/>
  <c r="AJ26" i="9"/>
  <c r="AI26" i="9"/>
  <c r="AI5" i="9"/>
  <c r="AJ5" i="9"/>
  <c r="AI6" i="9"/>
  <c r="AJ6" i="9"/>
  <c r="AI7" i="9"/>
  <c r="AJ7" i="9"/>
  <c r="AI8" i="9"/>
  <c r="AJ8" i="9"/>
  <c r="AI9" i="9"/>
  <c r="AJ9" i="9"/>
  <c r="AI10" i="9"/>
  <c r="AJ10" i="9"/>
  <c r="AI13" i="9"/>
  <c r="AJ13" i="9"/>
  <c r="AI14" i="9"/>
  <c r="AJ14" i="9"/>
  <c r="AI15" i="9"/>
  <c r="AJ15" i="9"/>
  <c r="AI16" i="9"/>
  <c r="AJ16" i="9"/>
  <c r="AI17" i="9"/>
  <c r="AJ17" i="9"/>
  <c r="AI18" i="9"/>
  <c r="AJ18" i="9"/>
  <c r="AI19" i="9"/>
  <c r="AJ19" i="9"/>
  <c r="AI20" i="9"/>
  <c r="AJ20" i="9"/>
  <c r="AI21" i="9"/>
  <c r="AJ21" i="9"/>
  <c r="AI22" i="9"/>
  <c r="AJ22" i="9"/>
  <c r="AI23" i="9"/>
  <c r="AJ23" i="9"/>
  <c r="AI24" i="9"/>
  <c r="AJ24" i="9"/>
  <c r="AI27" i="9"/>
  <c r="AJ27" i="9"/>
  <c r="AI28" i="9"/>
  <c r="AJ28" i="9"/>
  <c r="AI29" i="9"/>
  <c r="AJ29" i="9"/>
  <c r="AI30" i="9"/>
  <c r="AJ30" i="9"/>
  <c r="AI31" i="9"/>
  <c r="AJ31" i="9"/>
  <c r="AI32" i="9"/>
  <c r="AJ32" i="9"/>
  <c r="AI33" i="9"/>
  <c r="AJ33" i="9"/>
  <c r="AI34" i="9"/>
  <c r="AJ34" i="9"/>
  <c r="AI35" i="9"/>
  <c r="AJ35" i="9"/>
  <c r="AI36" i="9"/>
  <c r="AJ36" i="9"/>
  <c r="AI37" i="9"/>
  <c r="AJ37" i="9"/>
  <c r="AI38" i="9"/>
  <c r="AJ38" i="9"/>
  <c r="AI39" i="9"/>
  <c r="AJ39" i="9"/>
  <c r="AI40" i="9"/>
  <c r="AJ40" i="9"/>
  <c r="AI41" i="9"/>
  <c r="AJ41" i="9"/>
  <c r="AI42" i="9"/>
  <c r="AJ42" i="9"/>
  <c r="AI43" i="9"/>
  <c r="AJ43" i="9"/>
  <c r="AI44" i="9"/>
  <c r="AJ44" i="9"/>
  <c r="AI45" i="9"/>
  <c r="AJ45" i="9"/>
  <c r="AI46" i="9"/>
  <c r="AJ46" i="9"/>
  <c r="AI47" i="9"/>
  <c r="AJ47" i="9"/>
  <c r="AI48" i="9"/>
  <c r="AJ48" i="9"/>
  <c r="AI49" i="9"/>
  <c r="AJ49" i="9"/>
  <c r="AI50" i="9"/>
  <c r="AJ50" i="9"/>
  <c r="AI51" i="9"/>
  <c r="AJ51" i="9"/>
  <c r="AI52" i="9"/>
  <c r="AJ52" i="9"/>
  <c r="AI53" i="9"/>
  <c r="AJ53" i="9"/>
  <c r="AI54" i="9"/>
  <c r="AJ54" i="9"/>
  <c r="AI55" i="9"/>
  <c r="AJ55" i="9"/>
  <c r="AI56" i="9"/>
  <c r="AJ56" i="9"/>
  <c r="AI57" i="9"/>
  <c r="AJ57" i="9"/>
  <c r="AI58" i="9"/>
  <c r="AJ58" i="9"/>
  <c r="AI59" i="9"/>
  <c r="AJ59" i="9"/>
  <c r="AI60" i="9"/>
  <c r="AJ60" i="9"/>
  <c r="AI61" i="9"/>
  <c r="AJ61" i="9"/>
  <c r="AI62" i="9"/>
  <c r="AJ62" i="9"/>
  <c r="AI63" i="9"/>
  <c r="AJ63" i="9"/>
  <c r="AI64" i="9"/>
  <c r="AJ64" i="9"/>
  <c r="AI65" i="9"/>
  <c r="AJ65" i="9"/>
  <c r="AI66" i="9"/>
  <c r="AJ66" i="9"/>
  <c r="AI67" i="9"/>
  <c r="AJ67" i="9"/>
  <c r="AI68" i="9"/>
  <c r="AJ68" i="9"/>
  <c r="AI69" i="9"/>
  <c r="AJ69" i="9"/>
  <c r="AI70" i="9"/>
  <c r="AJ70" i="9"/>
  <c r="AI71" i="9"/>
  <c r="AJ71" i="9"/>
  <c r="AI72" i="9"/>
  <c r="AJ72" i="9"/>
  <c r="AJ80" i="9"/>
  <c r="AI80" i="9"/>
  <c r="AJ81" i="9"/>
  <c r="AI81" i="9"/>
  <c r="AJ88" i="9"/>
  <c r="AI88" i="9"/>
  <c r="AJ89" i="9"/>
  <c r="AI89" i="9"/>
  <c r="AI96" i="9"/>
  <c r="AJ96" i="9"/>
  <c r="AI73" i="9"/>
  <c r="AJ73" i="9"/>
  <c r="AI74" i="9"/>
  <c r="AJ74" i="9"/>
  <c r="AI75" i="9"/>
  <c r="AJ75" i="9"/>
  <c r="AI76" i="9"/>
  <c r="AJ76" i="9"/>
  <c r="AI77" i="9"/>
  <c r="AJ77" i="9"/>
  <c r="AI78" i="9"/>
  <c r="AJ78" i="9"/>
  <c r="AI79" i="9"/>
  <c r="AJ79" i="9"/>
  <c r="AI82" i="9"/>
  <c r="AJ82" i="9"/>
  <c r="AI83" i="9"/>
  <c r="AJ83" i="9"/>
  <c r="AI84" i="9"/>
  <c r="AJ84" i="9"/>
  <c r="AI85" i="9"/>
  <c r="AJ85" i="9"/>
  <c r="AI86" i="9"/>
  <c r="AJ86" i="9"/>
  <c r="AI87" i="9"/>
  <c r="AJ87" i="9"/>
  <c r="AI90" i="9"/>
  <c r="AJ90" i="9"/>
  <c r="AI91" i="9"/>
  <c r="AJ91" i="9"/>
  <c r="AI92" i="9"/>
  <c r="AJ92" i="9"/>
  <c r="AI93" i="9"/>
  <c r="AJ93" i="9"/>
  <c r="AI94" i="9"/>
  <c r="AJ94" i="9"/>
  <c r="AI95" i="9"/>
  <c r="AJ95" i="9"/>
  <c r="AI97" i="9"/>
  <c r="AJ97" i="9"/>
  <c r="AI98" i="9"/>
  <c r="AJ98" i="9"/>
  <c r="AI99" i="9"/>
  <c r="AJ99" i="9"/>
  <c r="AI100" i="9"/>
  <c r="AJ100" i="9"/>
  <c r="AI101" i="9"/>
  <c r="AJ101" i="9"/>
  <c r="AI102" i="9"/>
  <c r="AJ102" i="9"/>
  <c r="AI103" i="9"/>
  <c r="AJ103" i="9"/>
  <c r="AI104" i="9"/>
  <c r="AJ104" i="9"/>
  <c r="AI105" i="9"/>
  <c r="AJ105" i="9"/>
  <c r="AI106" i="9"/>
  <c r="AJ106" i="9"/>
  <c r="AI107" i="9"/>
  <c r="AJ107" i="9"/>
  <c r="AI108" i="9"/>
  <c r="AJ108" i="9"/>
  <c r="AI109" i="9"/>
  <c r="AJ109" i="9"/>
  <c r="I45" i="9"/>
  <c r="E45" i="9" s="1"/>
  <c r="J45" i="9" s="1"/>
  <c r="E46" i="9"/>
  <c r="I46" i="9"/>
  <c r="E47" i="9"/>
  <c r="I47" i="9"/>
  <c r="E48" i="9"/>
  <c r="I48" i="9"/>
  <c r="E49" i="9"/>
  <c r="I49" i="9"/>
  <c r="E50" i="9"/>
  <c r="I50" i="9"/>
  <c r="I51" i="9"/>
  <c r="E51" i="9" s="1"/>
  <c r="J51" i="9" s="1"/>
  <c r="E52" i="9"/>
  <c r="I52" i="9"/>
  <c r="E53" i="9"/>
  <c r="I53" i="9"/>
  <c r="E54" i="9"/>
  <c r="I54" i="9"/>
  <c r="E55" i="9"/>
  <c r="I55" i="9"/>
  <c r="E56" i="9"/>
  <c r="I56" i="9"/>
  <c r="I57" i="9"/>
  <c r="E57" i="9" s="1"/>
  <c r="J57" i="9" s="1"/>
  <c r="E58" i="9"/>
  <c r="I58" i="9"/>
  <c r="E59" i="9"/>
  <c r="I59" i="9"/>
  <c r="E60" i="9"/>
  <c r="I60" i="9"/>
  <c r="E61" i="9"/>
  <c r="I61" i="9"/>
  <c r="E62" i="9"/>
  <c r="I62" i="9"/>
  <c r="I63" i="9"/>
  <c r="E63" i="9" s="1"/>
  <c r="J63" i="9" s="1"/>
  <c r="E64" i="9"/>
  <c r="I64" i="9"/>
  <c r="E65" i="9"/>
  <c r="I65" i="9"/>
  <c r="E66" i="9"/>
  <c r="I66" i="9"/>
  <c r="E67" i="9"/>
  <c r="I67" i="9"/>
  <c r="E68" i="9"/>
  <c r="I68" i="9"/>
  <c r="I69" i="9"/>
  <c r="E69" i="9" s="1"/>
  <c r="J69" i="9" s="1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E81" i="9"/>
  <c r="I81" i="9"/>
  <c r="E82" i="9"/>
  <c r="I82" i="9"/>
  <c r="E83" i="9"/>
  <c r="I83" i="9"/>
  <c r="E84" i="9"/>
  <c r="I84" i="9"/>
  <c r="E85" i="9"/>
  <c r="I85" i="9"/>
  <c r="E86" i="9"/>
  <c r="I86" i="9"/>
  <c r="E87" i="9"/>
  <c r="I87" i="9"/>
  <c r="E88" i="9"/>
  <c r="I88" i="9"/>
  <c r="E89" i="9"/>
  <c r="I89" i="9"/>
  <c r="E90" i="9"/>
  <c r="I90" i="9"/>
  <c r="E91" i="9"/>
  <c r="I91" i="9"/>
  <c r="E92" i="9"/>
  <c r="I92" i="9"/>
  <c r="E93" i="9"/>
  <c r="I93" i="9"/>
  <c r="E94" i="9"/>
  <c r="I94" i="9"/>
  <c r="E95" i="9"/>
  <c r="I95" i="9"/>
  <c r="E96" i="9"/>
  <c r="I96" i="9"/>
  <c r="E97" i="9"/>
  <c r="I97" i="9"/>
  <c r="E98" i="9"/>
  <c r="I98" i="9"/>
  <c r="E99" i="9"/>
  <c r="I99" i="9"/>
  <c r="AC3" i="7"/>
  <c r="P3" i="7"/>
  <c r="C3" i="7"/>
  <c r="D5" i="5"/>
  <c r="C5" i="5"/>
  <c r="E5" i="5"/>
  <c r="F5" i="5"/>
  <c r="G5" i="5"/>
  <c r="BV11" i="8"/>
  <c r="BW11" i="8" s="1"/>
  <c r="BV23" i="8"/>
  <c r="BW23" i="8" s="1"/>
  <c r="BV29" i="8"/>
  <c r="BW29" i="8" s="1"/>
  <c r="BV35" i="8"/>
  <c r="BW35" i="8" s="1"/>
  <c r="AI110" i="9"/>
  <c r="AJ110" i="9"/>
  <c r="AI111" i="9"/>
  <c r="AJ111" i="9"/>
  <c r="AI112" i="9"/>
  <c r="AJ112" i="9"/>
  <c r="AI113" i="9"/>
  <c r="AJ113" i="9"/>
  <c r="AI114" i="9"/>
  <c r="AJ114" i="9"/>
  <c r="AI115" i="9"/>
  <c r="AJ115" i="9"/>
  <c r="AI116" i="9"/>
  <c r="AJ116" i="9"/>
  <c r="AI117" i="9"/>
  <c r="AJ117" i="9"/>
  <c r="AI118" i="9"/>
  <c r="AJ118" i="9"/>
  <c r="AI119" i="9"/>
  <c r="AJ119" i="9"/>
  <c r="AI120" i="9"/>
  <c r="AJ120" i="9"/>
  <c r="AI121" i="9"/>
  <c r="AJ121" i="9"/>
  <c r="AI122" i="9"/>
  <c r="AJ122" i="9"/>
  <c r="AI123" i="9"/>
  <c r="AJ123" i="9"/>
  <c r="AI124" i="9"/>
  <c r="AJ124" i="9"/>
  <c r="AI125" i="9"/>
  <c r="AJ125" i="9"/>
  <c r="AI126" i="9"/>
  <c r="AJ126" i="9"/>
  <c r="AI127" i="9"/>
  <c r="AJ127" i="9"/>
  <c r="AI128" i="9"/>
  <c r="AJ128" i="9"/>
  <c r="AI129" i="9"/>
  <c r="AJ129" i="9"/>
  <c r="AI130" i="9"/>
  <c r="AJ130" i="9"/>
  <c r="AI131" i="9"/>
  <c r="AJ131" i="9"/>
  <c r="AI132" i="9"/>
  <c r="AJ132" i="9"/>
  <c r="AI133" i="9"/>
  <c r="AJ133" i="9"/>
  <c r="AI134" i="9"/>
  <c r="AJ134" i="9"/>
  <c r="AI135" i="9"/>
  <c r="AJ135" i="9"/>
  <c r="AI136" i="9"/>
  <c r="AJ136" i="9"/>
  <c r="AI137" i="9"/>
  <c r="AJ137" i="9"/>
  <c r="AI138" i="9"/>
  <c r="AJ138" i="9"/>
  <c r="AI139" i="9"/>
  <c r="AJ139" i="9"/>
  <c r="AI140" i="9"/>
  <c r="AJ140" i="9"/>
  <c r="AI141" i="9"/>
  <c r="AJ141" i="9"/>
  <c r="AI142" i="9"/>
  <c r="AJ142" i="9"/>
  <c r="AI143" i="9"/>
  <c r="AJ143" i="9"/>
  <c r="AI144" i="9"/>
  <c r="AJ144" i="9"/>
  <c r="AI145" i="9"/>
  <c r="AJ145" i="9"/>
  <c r="AI146" i="9"/>
  <c r="AJ146" i="9"/>
  <c r="AI147" i="9"/>
  <c r="AJ147" i="9"/>
  <c r="AI148" i="9"/>
  <c r="AJ148" i="9"/>
  <c r="AI149" i="9"/>
  <c r="AJ149" i="9"/>
  <c r="AI150" i="9"/>
  <c r="AJ150" i="9"/>
  <c r="AI151" i="9"/>
  <c r="AJ151" i="9"/>
  <c r="AI152" i="9"/>
  <c r="AJ152" i="9"/>
  <c r="AI153" i="9"/>
  <c r="AJ153" i="9"/>
  <c r="AI154" i="9"/>
  <c r="AJ154" i="9"/>
  <c r="AI155" i="9"/>
  <c r="AJ155" i="9"/>
  <c r="AI156" i="9"/>
  <c r="AJ156" i="9"/>
  <c r="AI157" i="9"/>
  <c r="AJ157" i="9"/>
  <c r="AI158" i="9"/>
  <c r="AJ158" i="9"/>
  <c r="AI159" i="9"/>
  <c r="AJ159" i="9"/>
  <c r="AI160" i="9"/>
  <c r="AJ160" i="9"/>
  <c r="AI161" i="9"/>
  <c r="AJ161" i="9"/>
  <c r="AI162" i="9"/>
  <c r="AJ162" i="9"/>
  <c r="AI163" i="9"/>
  <c r="AJ163" i="9"/>
  <c r="AI164" i="9"/>
  <c r="AJ164" i="9"/>
  <c r="AI165" i="9"/>
  <c r="AJ165" i="9"/>
  <c r="AI166" i="9"/>
  <c r="AJ166" i="9"/>
  <c r="AI167" i="9"/>
  <c r="AJ167" i="9"/>
  <c r="AI168" i="9"/>
  <c r="AJ168" i="9"/>
  <c r="AI169" i="9"/>
  <c r="AJ169" i="9"/>
  <c r="AI170" i="9"/>
  <c r="AJ170" i="9"/>
  <c r="AI171" i="9"/>
  <c r="AJ171" i="9"/>
  <c r="L64" i="9"/>
  <c r="L58" i="9"/>
  <c r="L52" i="9"/>
  <c r="L46" i="9"/>
  <c r="B30" i="2"/>
  <c r="B29" i="2"/>
  <c r="B28" i="2"/>
  <c r="B27" i="2"/>
  <c r="B26" i="2"/>
  <c r="BV12" i="8"/>
  <c r="BW12" i="8" s="1"/>
  <c r="BV13" i="8"/>
  <c r="BW13" i="8" s="1"/>
  <c r="BV24" i="8"/>
  <c r="BW24" i="8" s="1"/>
  <c r="BV25" i="8"/>
  <c r="BW25" i="8" s="1"/>
  <c r="BV30" i="8"/>
  <c r="BW30" i="8" s="1"/>
  <c r="BV31" i="8"/>
  <c r="BW31" i="8" s="1"/>
  <c r="BV36" i="8"/>
  <c r="BW36" i="8" s="1"/>
  <c r="BV37" i="8"/>
  <c r="BW37" i="8" s="1"/>
  <c r="A3" i="9"/>
  <c r="AI243" i="9"/>
  <c r="AJ243" i="9"/>
  <c r="AI242" i="9"/>
  <c r="AJ242" i="9"/>
  <c r="AI241" i="9"/>
  <c r="AJ241" i="9"/>
  <c r="AI240" i="9"/>
  <c r="AJ240" i="9"/>
  <c r="AI239" i="9"/>
  <c r="AJ239" i="9"/>
  <c r="AI238" i="9"/>
  <c r="AJ238" i="9"/>
  <c r="AJ237" i="9"/>
  <c r="AI237" i="9"/>
  <c r="AJ236" i="9"/>
  <c r="AI236" i="9"/>
  <c r="AJ235" i="9"/>
  <c r="AI235" i="9"/>
  <c r="AJ234" i="9"/>
  <c r="AI234" i="9"/>
  <c r="AI233" i="9"/>
  <c r="AJ233" i="9"/>
  <c r="AI232" i="9"/>
  <c r="AJ232" i="9"/>
  <c r="AI231" i="9"/>
  <c r="AJ231" i="9"/>
  <c r="AI230" i="9"/>
  <c r="AJ230" i="9"/>
  <c r="AI229" i="9"/>
  <c r="AJ229" i="9"/>
  <c r="AI228" i="9"/>
  <c r="AJ228" i="9"/>
  <c r="AI227" i="9"/>
  <c r="AJ227" i="9"/>
  <c r="AI226" i="9"/>
  <c r="AJ226" i="9"/>
  <c r="AI225" i="9"/>
  <c r="AJ225" i="9"/>
  <c r="AI224" i="9"/>
  <c r="AJ224" i="9"/>
  <c r="AI223" i="9"/>
  <c r="AJ223" i="9"/>
  <c r="AI222" i="9"/>
  <c r="AJ222" i="9"/>
  <c r="AI221" i="9"/>
  <c r="AJ221" i="9"/>
  <c r="AI220" i="9"/>
  <c r="AJ220" i="9"/>
  <c r="AI219" i="9"/>
  <c r="AJ219" i="9"/>
  <c r="AI218" i="9"/>
  <c r="AJ218" i="9"/>
  <c r="AI217" i="9"/>
  <c r="AJ217" i="9"/>
  <c r="AI216" i="9"/>
  <c r="AJ216" i="9"/>
  <c r="AI215" i="9"/>
  <c r="AJ215" i="9"/>
  <c r="AI214" i="9"/>
  <c r="AJ214" i="9"/>
  <c r="AI213" i="9"/>
  <c r="AJ213" i="9"/>
  <c r="AI212" i="9"/>
  <c r="AJ212" i="9"/>
  <c r="AI211" i="9"/>
  <c r="AJ211" i="9"/>
  <c r="AI210" i="9"/>
  <c r="AJ210" i="9"/>
  <c r="AI209" i="9"/>
  <c r="AJ209" i="9"/>
  <c r="AI208" i="9"/>
  <c r="AJ208" i="9"/>
  <c r="AI207" i="9"/>
  <c r="AJ207" i="9"/>
  <c r="AI206" i="9"/>
  <c r="AJ206" i="9"/>
  <c r="AI205" i="9"/>
  <c r="AJ205" i="9"/>
  <c r="AI204" i="9"/>
  <c r="AJ204" i="9"/>
  <c r="AI203" i="9"/>
  <c r="AJ203" i="9"/>
  <c r="AI202" i="9"/>
  <c r="AJ202" i="9"/>
  <c r="AI201" i="9"/>
  <c r="AJ201" i="9"/>
  <c r="AI200" i="9"/>
  <c r="AJ200" i="9"/>
  <c r="AI199" i="9"/>
  <c r="AJ199" i="9"/>
  <c r="AI198" i="9"/>
  <c r="AJ198" i="9"/>
  <c r="AI197" i="9"/>
  <c r="AJ197" i="9"/>
  <c r="AI196" i="9"/>
  <c r="AJ196" i="9"/>
  <c r="AI195" i="9"/>
  <c r="AJ195" i="9"/>
  <c r="AI194" i="9"/>
  <c r="AJ194" i="9"/>
  <c r="AI193" i="9"/>
  <c r="AJ193" i="9"/>
  <c r="AI192" i="9"/>
  <c r="AJ192" i="9"/>
  <c r="AI191" i="9"/>
  <c r="AJ191" i="9"/>
  <c r="AI190" i="9"/>
  <c r="AJ190" i="9"/>
  <c r="AI189" i="9"/>
  <c r="AJ189" i="9"/>
  <c r="AI188" i="9"/>
  <c r="AJ188" i="9"/>
  <c r="AI187" i="9"/>
  <c r="AJ187" i="9"/>
  <c r="AI186" i="9"/>
  <c r="AJ186" i="9"/>
  <c r="AI185" i="9"/>
  <c r="AJ185" i="9"/>
  <c r="AI184" i="9"/>
  <c r="AJ184" i="9"/>
  <c r="AI183" i="9"/>
  <c r="AJ183" i="9"/>
  <c r="AI182" i="9"/>
  <c r="AJ182" i="9"/>
  <c r="AI181" i="9"/>
  <c r="AJ181" i="9"/>
  <c r="AI180" i="9"/>
  <c r="AJ180" i="9"/>
  <c r="AI179" i="9"/>
  <c r="AJ179" i="9"/>
  <c r="AI178" i="9"/>
  <c r="AJ178" i="9"/>
  <c r="AI177" i="9"/>
  <c r="AJ177" i="9"/>
  <c r="AI176" i="9"/>
  <c r="AJ176" i="9"/>
  <c r="AI175" i="9"/>
  <c r="AJ175" i="9"/>
  <c r="AI174" i="9"/>
  <c r="AJ174" i="9"/>
  <c r="AI173" i="9"/>
  <c r="AJ173" i="9"/>
  <c r="AI172" i="9"/>
  <c r="AJ172" i="9"/>
  <c r="A35" i="8"/>
  <c r="AE35" i="8" s="1"/>
  <c r="A29" i="8"/>
  <c r="AE29" i="8" s="1"/>
  <c r="A23" i="8"/>
  <c r="AE23" i="8" s="1"/>
  <c r="AE11" i="8"/>
  <c r="B99" i="9"/>
  <c r="B98" i="9"/>
  <c r="B97" i="9"/>
  <c r="L96" i="9"/>
  <c r="K96" i="9"/>
  <c r="B96" i="9"/>
  <c r="L95" i="9"/>
  <c r="K95" i="9"/>
  <c r="B95" i="9"/>
  <c r="L94" i="9"/>
  <c r="K94" i="9"/>
  <c r="B94" i="9"/>
  <c r="B93" i="9"/>
  <c r="B92" i="9"/>
  <c r="B91" i="9"/>
  <c r="L90" i="9"/>
  <c r="K90" i="9"/>
  <c r="B90" i="9"/>
  <c r="L89" i="9"/>
  <c r="K89" i="9"/>
  <c r="B89" i="9"/>
  <c r="L88" i="9"/>
  <c r="K88" i="9"/>
  <c r="B88" i="9"/>
  <c r="B87" i="9"/>
  <c r="B86" i="9"/>
  <c r="B85" i="9"/>
  <c r="L84" i="9"/>
  <c r="K84" i="9"/>
  <c r="B84" i="9"/>
  <c r="L83" i="9"/>
  <c r="K83" i="9"/>
  <c r="B83" i="9"/>
  <c r="L82" i="9"/>
  <c r="K82" i="9"/>
  <c r="B82" i="9"/>
  <c r="B81" i="9"/>
  <c r="B80" i="9"/>
  <c r="B79" i="9"/>
  <c r="L78" i="9"/>
  <c r="K78" i="9"/>
  <c r="B78" i="9"/>
  <c r="L77" i="9"/>
  <c r="K77" i="9"/>
  <c r="B77" i="9"/>
  <c r="L76" i="9"/>
  <c r="K76" i="9"/>
  <c r="B76" i="9"/>
  <c r="B75" i="9"/>
  <c r="B74" i="9"/>
  <c r="B73" i="9"/>
  <c r="L72" i="9"/>
  <c r="K72" i="9"/>
  <c r="B72" i="9"/>
  <c r="L71" i="9"/>
  <c r="K71" i="9"/>
  <c r="B71" i="9"/>
  <c r="L70" i="9"/>
  <c r="K70" i="9"/>
  <c r="B70" i="9"/>
  <c r="B69" i="9"/>
  <c r="B68" i="9"/>
  <c r="B67" i="9"/>
  <c r="L66" i="9"/>
  <c r="K66" i="9"/>
  <c r="B66" i="9"/>
  <c r="L65" i="9"/>
  <c r="K65" i="9"/>
  <c r="B65" i="9"/>
  <c r="B64" i="9"/>
  <c r="L60" i="9"/>
  <c r="K60" i="9"/>
  <c r="L59" i="9"/>
  <c r="K59" i="9"/>
  <c r="L54" i="9"/>
  <c r="K54" i="9"/>
  <c r="L53" i="9"/>
  <c r="K53" i="9"/>
  <c r="L48" i="9"/>
  <c r="K48" i="9"/>
  <c r="L47" i="9"/>
  <c r="K47" i="9"/>
  <c r="L42" i="9"/>
  <c r="K42" i="9"/>
  <c r="L41" i="9"/>
  <c r="K41" i="9"/>
  <c r="L36" i="9"/>
  <c r="K36" i="9"/>
  <c r="L35" i="9"/>
  <c r="K35" i="9"/>
  <c r="L30" i="9"/>
  <c r="K30" i="9"/>
  <c r="L29" i="9"/>
  <c r="K29" i="9"/>
  <c r="L24" i="9"/>
  <c r="K24" i="9"/>
  <c r="L23" i="9"/>
  <c r="K23" i="9"/>
  <c r="L18" i="9"/>
  <c r="K18" i="9"/>
  <c r="L17" i="9"/>
  <c r="K17" i="9"/>
  <c r="L12" i="9"/>
  <c r="K12" i="9"/>
  <c r="L11" i="9"/>
  <c r="K11" i="9"/>
  <c r="B9" i="9"/>
  <c r="B8" i="9"/>
  <c r="B7" i="9"/>
  <c r="L6" i="9"/>
  <c r="K6" i="9"/>
  <c r="B6" i="9"/>
  <c r="L5" i="9"/>
  <c r="K5" i="9"/>
  <c r="B5" i="9"/>
  <c r="B4" i="9"/>
  <c r="K1" i="9"/>
  <c r="E1" i="9"/>
  <c r="A1" i="9"/>
  <c r="M4" i="9"/>
  <c r="M14" i="9"/>
  <c r="M16" i="9"/>
  <c r="M24" i="9"/>
  <c r="M28" i="9"/>
  <c r="M36" i="9"/>
  <c r="M44" i="9"/>
  <c r="M46" i="9"/>
  <c r="M56" i="9"/>
  <c r="M58" i="9"/>
  <c r="M66" i="9"/>
  <c r="M72" i="9"/>
  <c r="M20" i="9"/>
  <c r="M25" i="9"/>
  <c r="M29" i="9"/>
  <c r="M37" i="9"/>
  <c r="M45" i="9"/>
  <c r="M47" i="9"/>
  <c r="M57" i="9"/>
  <c r="M59" i="9"/>
  <c r="M67" i="9"/>
  <c r="M73" i="9"/>
  <c r="M80" i="9"/>
  <c r="M32" i="9"/>
  <c r="M34" i="9"/>
  <c r="M40" i="9"/>
  <c r="M48" i="9"/>
  <c r="M52" i="9"/>
  <c r="M60" i="9"/>
  <c r="M64" i="9"/>
  <c r="M70" i="9"/>
  <c r="M81" i="9"/>
  <c r="M5" i="9"/>
  <c r="M41" i="9"/>
  <c r="M49" i="9"/>
  <c r="M53" i="9"/>
  <c r="M61" i="9"/>
  <c r="M65" i="9"/>
  <c r="M71" i="9"/>
  <c r="M76" i="9"/>
  <c r="M6" i="9"/>
  <c r="M15" i="9"/>
  <c r="M54" i="9"/>
  <c r="M62" i="9"/>
  <c r="M68" i="9"/>
  <c r="M74" i="9"/>
  <c r="M77" i="9"/>
  <c r="M7" i="9"/>
  <c r="M10" i="9"/>
  <c r="M21" i="9"/>
  <c r="M69" i="9"/>
  <c r="M75" i="9"/>
  <c r="M78" i="9"/>
  <c r="M8" i="9"/>
  <c r="M11" i="9"/>
  <c r="M17" i="9"/>
  <c r="M22" i="9"/>
  <c r="M79" i="9"/>
  <c r="M9" i="9"/>
  <c r="M12" i="9"/>
  <c r="M18" i="9"/>
  <c r="M23" i="9"/>
  <c r="M33" i="9"/>
  <c r="M13" i="9"/>
  <c r="M19" i="9"/>
  <c r="M26" i="9"/>
  <c r="M30" i="9"/>
  <c r="M35" i="9"/>
  <c r="M27" i="9"/>
  <c r="M31" i="9"/>
  <c r="M38" i="9"/>
  <c r="M42" i="9"/>
  <c r="M39" i="9"/>
  <c r="M43" i="9"/>
  <c r="M50" i="9"/>
  <c r="M51" i="9"/>
  <c r="M55" i="9"/>
  <c r="M63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W27" i="7"/>
  <c r="J27" i="7"/>
  <c r="W2" i="7"/>
  <c r="T2" i="7"/>
  <c r="G1" i="7"/>
  <c r="A1" i="7"/>
  <c r="B6" i="5"/>
  <c r="C3" i="5"/>
  <c r="A3" i="5"/>
  <c r="G14" i="5" l="1"/>
  <c r="G12" i="5"/>
  <c r="G15" i="5"/>
  <c r="G13" i="5"/>
  <c r="G11" i="5"/>
  <c r="E14" i="5"/>
  <c r="E12" i="5"/>
  <c r="E15" i="5"/>
  <c r="E13" i="5"/>
  <c r="E11" i="5"/>
  <c r="D15" i="5"/>
  <c r="D13" i="5"/>
  <c r="D11" i="5"/>
  <c r="D14" i="5"/>
  <c r="D12" i="5"/>
  <c r="F15" i="5"/>
  <c r="F13" i="5"/>
  <c r="F11" i="5"/>
  <c r="F14" i="5"/>
  <c r="F12" i="5"/>
  <c r="C14" i="5"/>
  <c r="C12" i="5"/>
  <c r="C15" i="5"/>
  <c r="C13" i="5"/>
  <c r="C11" i="5"/>
  <c r="G9" i="5"/>
  <c r="G7" i="5"/>
  <c r="G10" i="5"/>
  <c r="G8" i="5"/>
  <c r="G6" i="5"/>
  <c r="E9" i="5"/>
  <c r="E7" i="5"/>
  <c r="E10" i="5"/>
  <c r="E8" i="5"/>
  <c r="E6" i="5"/>
  <c r="D10" i="5"/>
  <c r="D8" i="5"/>
  <c r="D6" i="5"/>
  <c r="D9" i="5"/>
  <c r="D7" i="5"/>
  <c r="F10" i="5"/>
  <c r="F8" i="5"/>
  <c r="F6" i="5"/>
  <c r="F9" i="5"/>
  <c r="F7" i="5"/>
  <c r="C9" i="5"/>
  <c r="C7" i="5"/>
  <c r="C10" i="5"/>
  <c r="C8" i="5"/>
  <c r="C6" i="5"/>
  <c r="E16" i="9"/>
  <c r="J16" i="9" s="1"/>
  <c r="J5" i="7"/>
  <c r="F5" i="12"/>
  <c r="I5" i="9"/>
  <c r="I5" i="12"/>
  <c r="I10" i="9"/>
  <c r="I28" i="9"/>
  <c r="F13" i="12"/>
  <c r="I38" i="9"/>
  <c r="I22" i="9"/>
  <c r="I29" i="9"/>
  <c r="I13" i="12"/>
  <c r="I34" i="9"/>
  <c r="I18" i="9"/>
  <c r="F9" i="12"/>
  <c r="E5" i="9"/>
  <c r="G5" i="12"/>
  <c r="E10" i="9"/>
  <c r="J7" i="12"/>
  <c r="E35" i="9"/>
  <c r="J35" i="9" s="1"/>
  <c r="E4" i="9"/>
  <c r="D5" i="12"/>
  <c r="E34" i="9"/>
  <c r="I20" i="9"/>
  <c r="E11" i="9"/>
  <c r="E20" i="9"/>
  <c r="J9" i="12"/>
  <c r="E29" i="9"/>
  <c r="G13" i="12"/>
  <c r="E38" i="9"/>
  <c r="I7" i="9"/>
  <c r="E18" i="9"/>
  <c r="D9" i="12"/>
  <c r="E22" i="9"/>
  <c r="E28" i="9"/>
  <c r="D13" i="12"/>
  <c r="B9" i="12"/>
  <c r="I41" i="9"/>
  <c r="E41" i="9"/>
  <c r="E40" i="9"/>
  <c r="E42" i="9"/>
  <c r="E44" i="9"/>
  <c r="E36" i="9"/>
  <c r="I40" i="9"/>
  <c r="I42" i="9"/>
  <c r="I44" i="9"/>
  <c r="I36" i="9"/>
  <c r="E26" i="9"/>
  <c r="I26" i="9"/>
  <c r="I23" i="9"/>
  <c r="E23" i="9"/>
  <c r="E14" i="9"/>
  <c r="E12" i="9"/>
  <c r="M4" i="8"/>
  <c r="AG187" i="9"/>
  <c r="I12" i="9"/>
  <c r="AG233" i="9"/>
  <c r="AG110" i="9"/>
  <c r="I32" i="9"/>
  <c r="E32" i="9"/>
  <c r="I24" i="9"/>
  <c r="I30" i="9"/>
  <c r="E6" i="9"/>
  <c r="E24" i="9"/>
  <c r="E30" i="9"/>
  <c r="E31" i="9"/>
  <c r="P27" i="7"/>
  <c r="AG118" i="9"/>
  <c r="I31" i="9"/>
  <c r="L16" i="9"/>
  <c r="L40" i="9"/>
  <c r="AG170" i="9"/>
  <c r="AG146" i="9"/>
  <c r="AG128" i="9"/>
  <c r="AG122" i="9"/>
  <c r="AG120" i="9"/>
  <c r="AG119" i="9"/>
  <c r="AG114" i="9"/>
  <c r="AG112" i="9"/>
  <c r="AG111" i="9"/>
  <c r="E7" i="9"/>
  <c r="I17" i="9"/>
  <c r="I33" i="9"/>
  <c r="E33" i="9" s="1"/>
  <c r="J33" i="9" s="1"/>
  <c r="I19" i="9"/>
  <c r="L4" i="9"/>
  <c r="L22" i="9"/>
  <c r="L34" i="9"/>
  <c r="AG63" i="9"/>
  <c r="AG31" i="9"/>
  <c r="AG13" i="9"/>
  <c r="AG25" i="9"/>
  <c r="E17" i="9"/>
  <c r="I21" i="9"/>
  <c r="E21" i="9" s="1"/>
  <c r="J21" i="9" s="1"/>
  <c r="E19" i="9"/>
  <c r="E43" i="9"/>
  <c r="S4" i="8"/>
  <c r="G4" i="8"/>
  <c r="B10" i="9"/>
  <c r="AG177" i="9"/>
  <c r="AG183" i="9"/>
  <c r="AG185" i="9"/>
  <c r="AG186" i="9"/>
  <c r="AG189" i="9"/>
  <c r="AG97" i="9"/>
  <c r="AG76" i="9"/>
  <c r="AG71" i="9"/>
  <c r="AG67" i="9"/>
  <c r="AG65" i="9"/>
  <c r="AG64" i="9"/>
  <c r="I43" i="9"/>
  <c r="I37" i="9"/>
  <c r="C27" i="7"/>
  <c r="AG217" i="9"/>
  <c r="AG225" i="9"/>
  <c r="AG229" i="9"/>
  <c r="AG231" i="9"/>
  <c r="AG232" i="9"/>
  <c r="AG171" i="9"/>
  <c r="AG168" i="9"/>
  <c r="AG105" i="9"/>
  <c r="AG101" i="9"/>
  <c r="AG99" i="9"/>
  <c r="AG98" i="9"/>
  <c r="AG47" i="9"/>
  <c r="AG39" i="9"/>
  <c r="AG35" i="9"/>
  <c r="AG33" i="9"/>
  <c r="AG32" i="9"/>
  <c r="I39" i="9"/>
  <c r="E39" i="9" s="1"/>
  <c r="J39" i="9" s="1"/>
  <c r="E37" i="9"/>
  <c r="B7" i="5"/>
  <c r="P4" i="8"/>
  <c r="J4" i="8"/>
  <c r="B14" i="9"/>
  <c r="AG203" i="9"/>
  <c r="AG207" i="9"/>
  <c r="AG211" i="9"/>
  <c r="AG212" i="9"/>
  <c r="AG213" i="9"/>
  <c r="AG214" i="9"/>
  <c r="AG216" i="9"/>
  <c r="AG158" i="9"/>
  <c r="AG152" i="9"/>
  <c r="AG150" i="9"/>
  <c r="AG149" i="9"/>
  <c r="AG147" i="9"/>
  <c r="AG144" i="9"/>
  <c r="AG142" i="9"/>
  <c r="AG86" i="9"/>
  <c r="AG82" i="9"/>
  <c r="AG78" i="9"/>
  <c r="AG77" i="9"/>
  <c r="AG55" i="9"/>
  <c r="AG51" i="9"/>
  <c r="AG49" i="9"/>
  <c r="AG48" i="9"/>
  <c r="AG21" i="9"/>
  <c r="AG17" i="9"/>
  <c r="AG15" i="9"/>
  <c r="AG14" i="9"/>
  <c r="I25" i="9"/>
  <c r="B12" i="9"/>
  <c r="AG173" i="9"/>
  <c r="AG174" i="9"/>
  <c r="AG176" i="9"/>
  <c r="AG179" i="9"/>
  <c r="AG195" i="9"/>
  <c r="AG197" i="9"/>
  <c r="AG198" i="9"/>
  <c r="AG200" i="9"/>
  <c r="AG202" i="9"/>
  <c r="AG221" i="9"/>
  <c r="AG223" i="9"/>
  <c r="AG224" i="9"/>
  <c r="AG237" i="9"/>
  <c r="AG241" i="9"/>
  <c r="AG243" i="9"/>
  <c r="AG162" i="9"/>
  <c r="AG159" i="9"/>
  <c r="AG136" i="9"/>
  <c r="AG132" i="9"/>
  <c r="AG131" i="9"/>
  <c r="AG129" i="9"/>
  <c r="AG109" i="9"/>
  <c r="AG107" i="9"/>
  <c r="AG106" i="9"/>
  <c r="AG92" i="9"/>
  <c r="AG90" i="9"/>
  <c r="AG87" i="9"/>
  <c r="AG96" i="9"/>
  <c r="AG80" i="9"/>
  <c r="AG72" i="9"/>
  <c r="AG59" i="9"/>
  <c r="AG57" i="9"/>
  <c r="AG56" i="9"/>
  <c r="AG43" i="9"/>
  <c r="AG41" i="9"/>
  <c r="AG40" i="9"/>
  <c r="AG27" i="9"/>
  <c r="AG23" i="9"/>
  <c r="AG22" i="9"/>
  <c r="AG7" i="9"/>
  <c r="AG5" i="9"/>
  <c r="AG26" i="9"/>
  <c r="I27" i="9"/>
  <c r="E27" i="9" s="1"/>
  <c r="J27" i="9" s="1"/>
  <c r="E25" i="9"/>
  <c r="E13" i="9"/>
  <c r="I4" i="9"/>
  <c r="I6" i="9"/>
  <c r="I11" i="9"/>
  <c r="L10" i="9"/>
  <c r="I8" i="9"/>
  <c r="AJ27" i="7"/>
  <c r="AC27" i="7" s="1"/>
  <c r="I14" i="9"/>
  <c r="I13" i="9"/>
  <c r="I15" i="9"/>
  <c r="E15" i="9" s="1"/>
  <c r="J15" i="9" s="1"/>
  <c r="W5" i="7"/>
  <c r="AG181" i="9"/>
  <c r="AG182" i="9"/>
  <c r="AG191" i="9"/>
  <c r="AG192" i="9"/>
  <c r="AG194" i="9"/>
  <c r="AG205" i="9"/>
  <c r="AG206" i="9"/>
  <c r="AG219" i="9"/>
  <c r="AG220" i="9"/>
  <c r="AG227" i="9"/>
  <c r="AG228" i="9"/>
  <c r="AG235" i="9"/>
  <c r="AG236" i="9"/>
  <c r="AG239" i="9"/>
  <c r="AG240" i="9"/>
  <c r="AG166" i="9"/>
  <c r="AG165" i="9"/>
  <c r="AG163" i="9"/>
  <c r="AG156" i="9"/>
  <c r="AG155" i="9"/>
  <c r="AG153" i="9"/>
  <c r="AG140" i="9"/>
  <c r="AG139" i="9"/>
  <c r="AG137" i="9"/>
  <c r="AG134" i="9"/>
  <c r="AG126" i="9"/>
  <c r="AG125" i="9"/>
  <c r="AG123" i="9"/>
  <c r="AG116" i="9"/>
  <c r="AG115" i="9"/>
  <c r="AG103" i="9"/>
  <c r="AG102" i="9"/>
  <c r="AG94" i="9"/>
  <c r="AG93" i="9"/>
  <c r="AG84" i="9"/>
  <c r="AG83" i="9"/>
  <c r="AG74" i="9"/>
  <c r="AG73" i="9"/>
  <c r="AG69" i="9"/>
  <c r="AG68" i="9"/>
  <c r="AG61" i="9"/>
  <c r="AG60" i="9"/>
  <c r="AG53" i="9"/>
  <c r="AG52" i="9"/>
  <c r="AG45" i="9"/>
  <c r="AG44" i="9"/>
  <c r="AG37" i="9"/>
  <c r="AG36" i="9"/>
  <c r="AG29" i="9"/>
  <c r="AG28" i="9"/>
  <c r="AG19" i="9"/>
  <c r="AG18" i="9"/>
  <c r="AG9" i="9"/>
  <c r="AG8" i="9"/>
  <c r="AG11" i="9"/>
  <c r="AG4" i="9"/>
  <c r="E8" i="9"/>
  <c r="C5" i="7"/>
  <c r="P5" i="7"/>
  <c r="B11" i="9"/>
  <c r="B13" i="9"/>
  <c r="B15" i="9"/>
  <c r="AG172" i="9"/>
  <c r="AG175" i="9"/>
  <c r="AG178" i="9"/>
  <c r="AG184" i="9"/>
  <c r="AG188" i="9"/>
  <c r="AG193" i="9"/>
  <c r="AG196" i="9"/>
  <c r="AG199" i="9"/>
  <c r="AG201" i="9"/>
  <c r="AG204" i="9"/>
  <c r="AG208" i="9"/>
  <c r="AG209" i="9"/>
  <c r="AG210" i="9"/>
  <c r="AG218" i="9"/>
  <c r="AG222" i="9"/>
  <c r="AG226" i="9"/>
  <c r="AG230" i="9"/>
  <c r="AG234" i="9"/>
  <c r="AG238" i="9"/>
  <c r="AG242" i="9"/>
  <c r="AG169" i="9"/>
  <c r="AG167" i="9"/>
  <c r="AG164" i="9"/>
  <c r="AG161" i="9"/>
  <c r="AG160" i="9"/>
  <c r="AG154" i="9"/>
  <c r="AG151" i="9"/>
  <c r="AG148" i="9"/>
  <c r="AG145" i="9"/>
  <c r="AG143" i="9"/>
  <c r="AG141" i="9"/>
  <c r="AG138" i="9"/>
  <c r="AG135" i="9"/>
  <c r="AG133" i="9"/>
  <c r="AG130" i="9"/>
  <c r="AG127" i="9"/>
  <c r="AG124" i="9"/>
  <c r="AG121" i="9"/>
  <c r="AG117" i="9"/>
  <c r="AG113" i="9"/>
  <c r="AG108" i="9"/>
  <c r="AG104" i="9"/>
  <c r="AG100" i="9"/>
  <c r="AG85" i="9"/>
  <c r="AG79" i="9"/>
  <c r="AG75" i="9"/>
  <c r="AG89" i="9"/>
  <c r="AG88" i="9"/>
  <c r="AG81" i="9"/>
  <c r="AG70" i="9"/>
  <c r="AG66" i="9"/>
  <c r="AG62" i="9"/>
  <c r="AG58" i="9"/>
  <c r="AG54" i="9"/>
  <c r="AG50" i="9"/>
  <c r="AG46" i="9"/>
  <c r="AG42" i="9"/>
  <c r="AG38" i="9"/>
  <c r="AG34" i="9"/>
  <c r="AG30" i="9"/>
  <c r="AG24" i="9"/>
  <c r="AG20" i="9"/>
  <c r="AG16" i="9"/>
  <c r="AG10" i="9"/>
  <c r="AG6" i="9"/>
  <c r="AG12" i="9"/>
  <c r="I9" i="9"/>
  <c r="E9" i="9" s="1"/>
  <c r="J9" i="9" s="1"/>
  <c r="AJ5" i="7"/>
  <c r="AG180" i="9"/>
  <c r="AG190" i="9"/>
  <c r="AG215" i="9"/>
  <c r="AG157" i="9"/>
  <c r="AG95" i="9"/>
  <c r="AG91" i="9"/>
  <c r="K52" i="9"/>
  <c r="K46" i="9"/>
  <c r="K58" i="9"/>
  <c r="J61" i="9"/>
  <c r="J60" i="9"/>
  <c r="J59" i="9"/>
  <c r="J58" i="9"/>
  <c r="BX23" i="8"/>
  <c r="CA23" i="8" s="1"/>
  <c r="BX35" i="8"/>
  <c r="CA35" i="8" s="1"/>
  <c r="BX29" i="8"/>
  <c r="CA29" i="8" s="1"/>
  <c r="BX11" i="8"/>
  <c r="CA11" i="8" s="1"/>
  <c r="K40" i="9"/>
  <c r="K64" i="9"/>
  <c r="J98" i="9"/>
  <c r="J97" i="9"/>
  <c r="J94" i="9"/>
  <c r="J93" i="9"/>
  <c r="J90" i="9"/>
  <c r="J89" i="9"/>
  <c r="J85" i="9"/>
  <c r="J84" i="9"/>
  <c r="J83" i="9"/>
  <c r="J82" i="9"/>
  <c r="J77" i="9"/>
  <c r="J76" i="9"/>
  <c r="J75" i="9"/>
  <c r="J74" i="9"/>
  <c r="J68" i="9"/>
  <c r="J67" i="9"/>
  <c r="J66" i="9"/>
  <c r="J53" i="9"/>
  <c r="J52" i="9"/>
  <c r="J50" i="9"/>
  <c r="J99" i="9"/>
  <c r="J96" i="9"/>
  <c r="J95" i="9"/>
  <c r="J92" i="9"/>
  <c r="J91" i="9"/>
  <c r="J88" i="9"/>
  <c r="J87" i="9"/>
  <c r="J86" i="9"/>
  <c r="J81" i="9"/>
  <c r="J80" i="9"/>
  <c r="J79" i="9"/>
  <c r="J78" i="9"/>
  <c r="J73" i="9"/>
  <c r="J72" i="9"/>
  <c r="J71" i="9"/>
  <c r="J70" i="9"/>
  <c r="J65" i="9"/>
  <c r="J64" i="9"/>
  <c r="J62" i="9"/>
  <c r="J56" i="9"/>
  <c r="J55" i="9"/>
  <c r="J54" i="9"/>
  <c r="J49" i="9"/>
  <c r="J48" i="9"/>
  <c r="J47" i="9"/>
  <c r="J46" i="9"/>
  <c r="J22" i="9" l="1"/>
  <c r="D22" i="9" s="1"/>
  <c r="J28" i="9"/>
  <c r="D28" i="9" s="1"/>
  <c r="J18" i="9"/>
  <c r="D18" i="9" s="1"/>
  <c r="CB17" i="8"/>
  <c r="AL17" i="8" s="1"/>
  <c r="J30" i="9"/>
  <c r="D30" i="9" s="1"/>
  <c r="J38" i="9"/>
  <c r="D38" i="9" s="1"/>
  <c r="J29" i="9"/>
  <c r="D29" i="9" s="1"/>
  <c r="J10" i="9"/>
  <c r="D10" i="9" s="1"/>
  <c r="J5" i="9"/>
  <c r="D5" i="9" s="1"/>
  <c r="J7" i="9"/>
  <c r="D7" i="9" s="1"/>
  <c r="B19" i="9"/>
  <c r="B20" i="9"/>
  <c r="J24" i="9"/>
  <c r="D24" i="9" s="1"/>
  <c r="B21" i="9"/>
  <c r="B17" i="9"/>
  <c r="B8" i="5"/>
  <c r="B16" i="9"/>
  <c r="B18" i="9"/>
  <c r="J34" i="9"/>
  <c r="D34" i="9" s="1"/>
  <c r="J20" i="9"/>
  <c r="D20" i="9" s="1"/>
  <c r="J11" i="9"/>
  <c r="D11" i="9" s="1"/>
  <c r="J4" i="9"/>
  <c r="D4" i="9" s="1"/>
  <c r="J23" i="9"/>
  <c r="D23" i="9" s="1"/>
  <c r="CB23" i="8"/>
  <c r="AL23" i="8" s="1"/>
  <c r="CB29" i="8"/>
  <c r="AL29" i="8" s="1"/>
  <c r="CB35" i="8"/>
  <c r="AL35" i="8" s="1"/>
  <c r="CB11" i="8"/>
  <c r="AL11" i="8" s="1"/>
  <c r="B9" i="2"/>
  <c r="J42" i="9"/>
  <c r="D42" i="9" s="1"/>
  <c r="J14" i="9"/>
  <c r="D14" i="9" s="1"/>
  <c r="J25" i="9"/>
  <c r="D25" i="9" s="1"/>
  <c r="J36" i="9"/>
  <c r="D36" i="9" s="1"/>
  <c r="J41" i="9"/>
  <c r="D41" i="9" s="1"/>
  <c r="J44" i="9"/>
  <c r="D44" i="9" s="1"/>
  <c r="J40" i="9"/>
  <c r="D40" i="9" s="1"/>
  <c r="K28" i="9"/>
  <c r="J12" i="9"/>
  <c r="D12" i="9" s="1"/>
  <c r="J26" i="9"/>
  <c r="D26" i="9" s="1"/>
  <c r="K34" i="9"/>
  <c r="D27" i="9"/>
  <c r="K16" i="9"/>
  <c r="J6" i="9"/>
  <c r="D6" i="9" s="1"/>
  <c r="K22" i="9"/>
  <c r="K10" i="9"/>
  <c r="J37" i="9"/>
  <c r="D37" i="9" s="1"/>
  <c r="J32" i="9"/>
  <c r="D32" i="9" s="1"/>
  <c r="J13" i="9"/>
  <c r="D13" i="9" s="1"/>
  <c r="J19" i="9"/>
  <c r="D19" i="9" s="1"/>
  <c r="J17" i="9"/>
  <c r="D17" i="9" s="1"/>
  <c r="J31" i="9"/>
  <c r="D31" i="9" s="1"/>
  <c r="J43" i="9"/>
  <c r="D43" i="9" s="1"/>
  <c r="D63" i="9"/>
  <c r="D51" i="9"/>
  <c r="D21" i="9"/>
  <c r="D87" i="9"/>
  <c r="M27" i="2"/>
  <c r="D57" i="9"/>
  <c r="J8" i="9"/>
  <c r="D8" i="9" s="1"/>
  <c r="D39" i="9"/>
  <c r="D35" i="9"/>
  <c r="D55" i="9"/>
  <c r="D71" i="9"/>
  <c r="D47" i="9"/>
  <c r="D49" i="9"/>
  <c r="D62" i="9"/>
  <c r="D65" i="9"/>
  <c r="D73" i="9"/>
  <c r="D79" i="9"/>
  <c r="D81" i="9"/>
  <c r="D91" i="9"/>
  <c r="D95" i="9"/>
  <c r="D99" i="9"/>
  <c r="D52" i="9"/>
  <c r="D66" i="9"/>
  <c r="D68" i="9"/>
  <c r="D75" i="9"/>
  <c r="D77" i="9"/>
  <c r="D83" i="9"/>
  <c r="D85" i="9"/>
  <c r="D90" i="9"/>
  <c r="D94" i="9"/>
  <c r="D98" i="9"/>
  <c r="D59" i="9"/>
  <c r="D61" i="9"/>
  <c r="M29" i="2"/>
  <c r="D9" i="9"/>
  <c r="D69" i="9"/>
  <c r="D15" i="9"/>
  <c r="D33" i="9"/>
  <c r="D16" i="9"/>
  <c r="D46" i="9"/>
  <c r="D48" i="9"/>
  <c r="D54" i="9"/>
  <c r="D56" i="9"/>
  <c r="D64" i="9"/>
  <c r="D70" i="9"/>
  <c r="D72" i="9"/>
  <c r="D78" i="9"/>
  <c r="D80" i="9"/>
  <c r="D86" i="9"/>
  <c r="D88" i="9"/>
  <c r="D92" i="9"/>
  <c r="D96" i="9"/>
  <c r="D50" i="9"/>
  <c r="D53" i="9"/>
  <c r="D67" i="9"/>
  <c r="D74" i="9"/>
  <c r="D76" i="9"/>
  <c r="D82" i="9"/>
  <c r="D84" i="9"/>
  <c r="D89" i="9"/>
  <c r="D93" i="9"/>
  <c r="D97" i="9"/>
  <c r="D58" i="9"/>
  <c r="D60" i="9"/>
  <c r="K4" i="9"/>
  <c r="D45" i="9"/>
  <c r="M28" i="2"/>
  <c r="M30" i="2"/>
  <c r="M26" i="2"/>
  <c r="B10" i="2" l="1"/>
  <c r="B13" i="12" s="1"/>
  <c r="B11" i="14"/>
  <c r="B11" i="12"/>
  <c r="AM36" i="9"/>
  <c r="B26" i="9"/>
  <c r="B9" i="5"/>
  <c r="B24" i="9"/>
  <c r="B25" i="9"/>
  <c r="B23" i="9"/>
  <c r="B27" i="9"/>
  <c r="B22" i="9"/>
  <c r="AL156" i="9"/>
  <c r="AM48" i="9"/>
  <c r="AK58" i="9"/>
  <c r="AM20" i="9"/>
  <c r="AK126" i="9"/>
  <c r="AK88" i="9"/>
  <c r="AM58" i="9"/>
  <c r="AM166" i="9"/>
  <c r="AK8" i="9"/>
  <c r="AM167" i="9"/>
  <c r="AK168" i="9"/>
  <c r="AK178" i="9"/>
  <c r="AM208" i="9"/>
  <c r="AM88" i="9"/>
  <c r="AL179" i="9"/>
  <c r="AK36" i="9"/>
  <c r="AL36" i="9"/>
  <c r="AM178" i="9"/>
  <c r="AM129" i="9"/>
  <c r="AK156" i="9"/>
  <c r="AM139" i="9"/>
  <c r="AK124" i="9"/>
  <c r="AK208" i="9"/>
  <c r="AM156" i="9"/>
  <c r="AK7" i="9"/>
  <c r="AK167" i="9"/>
  <c r="AL88" i="9"/>
  <c r="AL167" i="9"/>
  <c r="AL208" i="9"/>
  <c r="AM47" i="9"/>
  <c r="AL47" i="9"/>
  <c r="AK47" i="9"/>
  <c r="AL144" i="9"/>
  <c r="AM4" i="9"/>
  <c r="AK4" i="9"/>
  <c r="AL178" i="9"/>
  <c r="AL168" i="9"/>
  <c r="AL127" i="9"/>
  <c r="AL48" i="9"/>
  <c r="AM59" i="9"/>
  <c r="AK23" i="9"/>
  <c r="AM124" i="9"/>
  <c r="AM174" i="9"/>
  <c r="AM128" i="9"/>
  <c r="AM143" i="9"/>
  <c r="AM168" i="9"/>
  <c r="AM189" i="9"/>
  <c r="AK154" i="9"/>
  <c r="AK128" i="9"/>
  <c r="AK112" i="9"/>
  <c r="AK95" i="9"/>
  <c r="AK79" i="9"/>
  <c r="AK63" i="9"/>
  <c r="AK54" i="9"/>
  <c r="AK45" i="9"/>
  <c r="AK37" i="9"/>
  <c r="AK28" i="9"/>
  <c r="AK22" i="9"/>
  <c r="AK14" i="9"/>
  <c r="AK6" i="9"/>
  <c r="AM126" i="9"/>
  <c r="AM192" i="9"/>
  <c r="AM190" i="9"/>
  <c r="AM41" i="9"/>
  <c r="AM104" i="9"/>
  <c r="AM241" i="9"/>
  <c r="AM231" i="9"/>
  <c r="AM222" i="9"/>
  <c r="AM207" i="9"/>
  <c r="AM188" i="9"/>
  <c r="AM165" i="9"/>
  <c r="AM61" i="9"/>
  <c r="AL96" i="9"/>
  <c r="AK242" i="9"/>
  <c r="AK236" i="9"/>
  <c r="AK230" i="9"/>
  <c r="AK222" i="9"/>
  <c r="AK214" i="9"/>
  <c r="AK206" i="9"/>
  <c r="AK198" i="9"/>
  <c r="AK190" i="9"/>
  <c r="AK180" i="9"/>
  <c r="AK172" i="9"/>
  <c r="AK164" i="9"/>
  <c r="AK148" i="9"/>
  <c r="AK140" i="9"/>
  <c r="AK132" i="9"/>
  <c r="AK122" i="9"/>
  <c r="AK114" i="9"/>
  <c r="AK106" i="9"/>
  <c r="AK98" i="9"/>
  <c r="AK89" i="9"/>
  <c r="AK81" i="9"/>
  <c r="AK73" i="9"/>
  <c r="AK65" i="9"/>
  <c r="AK56" i="9"/>
  <c r="AK48" i="9"/>
  <c r="AK39" i="9"/>
  <c r="AK30" i="9"/>
  <c r="AK20" i="9"/>
  <c r="AK12" i="9"/>
  <c r="AM52" i="9"/>
  <c r="AM183" i="9"/>
  <c r="AM82" i="9"/>
  <c r="AM91" i="9"/>
  <c r="AM74" i="9"/>
  <c r="AM239" i="9"/>
  <c r="AM228" i="9"/>
  <c r="AM213" i="9"/>
  <c r="AM196" i="9"/>
  <c r="AM175" i="9"/>
  <c r="AM138" i="9"/>
  <c r="AM97" i="9"/>
  <c r="AM99" i="9"/>
  <c r="AM30" i="9"/>
  <c r="AM57" i="9"/>
  <c r="AM86" i="9"/>
  <c r="AM106" i="9"/>
  <c r="AM229" i="9"/>
  <c r="AM180" i="9"/>
  <c r="AM159" i="9"/>
  <c r="AM146" i="9"/>
  <c r="AM131" i="9"/>
  <c r="AM119" i="9"/>
  <c r="AM108" i="9"/>
  <c r="AM93" i="9"/>
  <c r="AM67" i="9"/>
  <c r="AM32" i="9"/>
  <c r="AM105" i="9"/>
  <c r="AM54" i="9"/>
  <c r="AM136" i="9"/>
  <c r="AM194" i="9"/>
  <c r="AM223" i="9"/>
  <c r="AM157" i="9"/>
  <c r="AM144" i="9"/>
  <c r="AM117" i="9"/>
  <c r="AM95" i="9"/>
  <c r="AM44" i="9"/>
  <c r="AM75" i="9"/>
  <c r="AM163" i="9"/>
  <c r="AM205" i="9"/>
  <c r="AM233" i="9"/>
  <c r="AM148" i="9"/>
  <c r="AM199" i="9"/>
  <c r="AK26" i="9"/>
  <c r="AK43" i="9"/>
  <c r="AK61" i="9"/>
  <c r="AK77" i="9"/>
  <c r="AK93" i="9"/>
  <c r="AK110" i="9"/>
  <c r="AK144" i="9"/>
  <c r="AK184" i="9"/>
  <c r="AK202" i="9"/>
  <c r="AK218" i="9"/>
  <c r="AK234" i="9"/>
  <c r="AM72" i="9"/>
  <c r="AM152" i="9"/>
  <c r="AM198" i="9"/>
  <c r="AM226" i="9"/>
  <c r="AM53" i="9"/>
  <c r="AM40" i="9"/>
  <c r="AK10" i="9"/>
  <c r="AK24" i="9"/>
  <c r="AK41" i="9"/>
  <c r="AK87" i="9"/>
  <c r="AM217" i="9"/>
  <c r="AM147" i="9"/>
  <c r="AM116" i="9"/>
  <c r="AL25" i="9"/>
  <c r="AM12" i="9"/>
  <c r="AM173" i="9"/>
  <c r="AM216" i="9"/>
  <c r="AM169" i="9"/>
  <c r="AM155" i="9"/>
  <c r="AM142" i="9"/>
  <c r="AM123" i="9"/>
  <c r="AM115" i="9"/>
  <c r="AM101" i="9"/>
  <c r="AM78" i="9"/>
  <c r="AM55" i="9"/>
  <c r="AM17" i="9"/>
  <c r="AM84" i="9"/>
  <c r="AM15" i="9"/>
  <c r="AM150" i="9"/>
  <c r="AM134" i="9"/>
  <c r="AM209" i="9"/>
  <c r="AM153" i="9"/>
  <c r="AM133" i="9"/>
  <c r="AM121" i="9"/>
  <c r="AM112" i="9"/>
  <c r="AM76" i="9"/>
  <c r="AM114" i="9"/>
  <c r="AM13" i="9"/>
  <c r="AM186" i="9"/>
  <c r="AM220" i="9"/>
  <c r="AM243" i="9"/>
  <c r="AM171" i="9"/>
  <c r="AM63" i="9"/>
  <c r="AK16" i="9"/>
  <c r="AK34" i="9"/>
  <c r="AK52" i="9"/>
  <c r="AK69" i="9"/>
  <c r="AK85" i="9"/>
  <c r="AK102" i="9"/>
  <c r="AK118" i="9"/>
  <c r="AK136" i="9"/>
  <c r="AK152" i="9"/>
  <c r="AK160" i="9"/>
  <c r="AK176" i="9"/>
  <c r="AK194" i="9"/>
  <c r="AK210" i="9"/>
  <c r="AK226" i="9"/>
  <c r="AK240" i="9"/>
  <c r="AM51" i="9"/>
  <c r="AM177" i="9"/>
  <c r="AM215" i="9"/>
  <c r="AM236" i="9"/>
  <c r="AM203" i="9"/>
  <c r="AM201" i="9"/>
  <c r="AM182" i="9"/>
  <c r="AK18" i="9"/>
  <c r="AK32" i="9"/>
  <c r="AK50" i="9"/>
  <c r="AK71" i="9"/>
  <c r="AK104" i="9"/>
  <c r="AK134" i="9"/>
  <c r="AM170" i="9"/>
  <c r="AM132" i="9"/>
  <c r="AL58" i="9"/>
  <c r="AL124" i="9"/>
  <c r="AL173" i="9"/>
  <c r="AL4" i="9"/>
  <c r="AK120" i="9"/>
  <c r="AK146" i="9"/>
  <c r="AK162" i="9"/>
  <c r="AK192" i="9"/>
  <c r="AK224" i="9"/>
  <c r="AM18" i="9"/>
  <c r="AM211" i="9"/>
  <c r="AM73" i="9"/>
  <c r="AK40" i="9"/>
  <c r="AK163" i="9"/>
  <c r="AK171" i="9"/>
  <c r="AM184" i="9"/>
  <c r="AM85" i="9"/>
  <c r="AM29" i="9"/>
  <c r="AM212" i="9"/>
  <c r="AK78" i="9"/>
  <c r="AK99" i="9"/>
  <c r="AK235" i="9"/>
  <c r="AL80" i="9"/>
  <c r="AL97" i="9"/>
  <c r="AK147" i="9"/>
  <c r="AM235" i="9"/>
  <c r="AK57" i="9"/>
  <c r="AK131" i="9"/>
  <c r="AK203" i="9"/>
  <c r="AL15" i="9"/>
  <c r="AL42" i="9"/>
  <c r="AL53" i="9"/>
  <c r="AL64" i="9"/>
  <c r="AL117" i="9"/>
  <c r="AM33" i="9"/>
  <c r="AM19" i="9"/>
  <c r="AL233" i="9"/>
  <c r="AL191" i="9"/>
  <c r="AL163" i="9"/>
  <c r="AL153" i="9"/>
  <c r="AL143" i="9"/>
  <c r="AL131" i="9"/>
  <c r="AL109" i="9"/>
  <c r="AL101" i="9"/>
  <c r="AL92" i="9"/>
  <c r="AL84" i="9"/>
  <c r="AL76" i="9"/>
  <c r="AL68" i="9"/>
  <c r="AL59" i="9"/>
  <c r="AL57" i="9"/>
  <c r="AL49" i="9"/>
  <c r="AL46" i="9"/>
  <c r="AL38" i="9"/>
  <c r="AL29" i="9"/>
  <c r="AL24" i="9"/>
  <c r="AL19" i="9"/>
  <c r="AL11" i="9"/>
  <c r="AM24" i="9"/>
  <c r="AM11" i="9"/>
  <c r="AK243" i="9"/>
  <c r="AK227" i="9"/>
  <c r="AK211" i="9"/>
  <c r="AK195" i="9"/>
  <c r="AK179" i="9"/>
  <c r="AK155" i="9"/>
  <c r="AK139" i="9"/>
  <c r="AK123" i="9"/>
  <c r="AK107" i="9"/>
  <c r="AK90" i="9"/>
  <c r="AK86" i="9"/>
  <c r="AK70" i="9"/>
  <c r="AK62" i="9"/>
  <c r="AK53" i="9"/>
  <c r="AK44" i="9"/>
  <c r="AK35" i="9"/>
  <c r="AK27" i="9"/>
  <c r="AK19" i="9"/>
  <c r="AK11" i="9"/>
  <c r="AM127" i="9"/>
  <c r="AM200" i="9"/>
  <c r="AM202" i="9"/>
  <c r="AM83" i="9"/>
  <c r="AM98" i="9"/>
  <c r="AM240" i="9"/>
  <c r="AM230" i="9"/>
  <c r="AM219" i="9"/>
  <c r="AM204" i="9"/>
  <c r="AM185" i="9"/>
  <c r="AM162" i="9"/>
  <c r="AM135" i="9"/>
  <c r="AM65" i="9"/>
  <c r="AM110" i="9"/>
  <c r="AM43" i="9"/>
  <c r="AM68" i="9"/>
  <c r="AM94" i="9"/>
  <c r="AM111" i="9"/>
  <c r="AM120" i="9"/>
  <c r="AM130" i="9"/>
  <c r="AM141" i="9"/>
  <c r="AM145" i="9"/>
  <c r="AM154" i="9"/>
  <c r="AM158" i="9"/>
  <c r="AM179" i="9"/>
  <c r="AM210" i="9"/>
  <c r="AM224" i="9"/>
  <c r="AM218" i="9"/>
  <c r="AK238" i="9"/>
  <c r="AK228" i="9"/>
  <c r="AK220" i="9"/>
  <c r="AK212" i="9"/>
  <c r="AK204" i="9"/>
  <c r="AK196" i="9"/>
  <c r="AK188" i="9"/>
  <c r="AK182" i="9"/>
  <c r="AK174" i="9"/>
  <c r="AK166" i="9"/>
  <c r="AK158" i="9"/>
  <c r="AK150" i="9"/>
  <c r="AK142" i="9"/>
  <c r="AK67" i="9"/>
  <c r="AK75" i="9"/>
  <c r="AK83" i="9"/>
  <c r="AK91" i="9"/>
  <c r="AK100" i="9"/>
  <c r="AK108" i="9"/>
  <c r="AK116" i="9"/>
  <c r="AK130" i="9"/>
  <c r="AK138" i="9"/>
  <c r="AK170" i="9"/>
  <c r="AK186" i="9"/>
  <c r="AK200" i="9"/>
  <c r="AK216" i="9"/>
  <c r="AK232" i="9"/>
  <c r="AM238" i="9"/>
  <c r="AM102" i="9"/>
  <c r="AM56" i="9"/>
  <c r="AM92" i="9"/>
  <c r="AM149" i="9"/>
  <c r="AM195" i="9"/>
  <c r="AM225" i="9"/>
  <c r="AM14" i="9"/>
  <c r="AM160" i="9"/>
  <c r="AM191" i="9"/>
  <c r="AK15" i="9"/>
  <c r="AK31" i="9"/>
  <c r="AK49" i="9"/>
  <c r="AK66" i="9"/>
  <c r="AK115" i="9"/>
  <c r="AK187" i="9"/>
  <c r="AK219" i="9"/>
  <c r="AL7" i="9"/>
  <c r="AL23" i="9"/>
  <c r="AL33" i="9"/>
  <c r="AL72" i="9"/>
  <c r="AL105" i="9"/>
  <c r="AL139" i="9"/>
  <c r="AL207" i="9"/>
  <c r="AL209" i="9"/>
  <c r="AL113" i="9"/>
  <c r="AL121" i="9"/>
  <c r="AL135" i="9"/>
  <c r="AL149" i="9"/>
  <c r="AL169" i="9"/>
  <c r="AL183" i="9"/>
  <c r="AL199" i="9"/>
  <c r="AL217" i="9"/>
  <c r="AK60" i="9"/>
  <c r="AM49" i="9"/>
  <c r="AL145" i="9"/>
  <c r="AL159" i="9"/>
  <c r="AL177" i="9"/>
  <c r="AL187" i="9"/>
  <c r="AL195" i="9"/>
  <c r="AL203" i="9"/>
  <c r="AL213" i="9"/>
  <c r="AL225" i="9"/>
  <c r="AL241" i="9"/>
  <c r="AM9" i="9"/>
  <c r="AL221" i="9"/>
  <c r="AL229" i="9"/>
  <c r="AL237" i="9"/>
  <c r="AK96" i="9"/>
  <c r="AM62" i="9"/>
  <c r="AM103" i="9"/>
  <c r="AM21" i="9"/>
  <c r="AM5" i="9"/>
  <c r="AM34" i="9"/>
  <c r="AM6" i="9"/>
  <c r="AL60" i="9"/>
  <c r="AM70" i="9"/>
  <c r="AM22" i="9"/>
  <c r="AM60" i="9"/>
  <c r="AM79" i="9"/>
  <c r="AM46" i="9"/>
  <c r="AM50" i="9"/>
  <c r="AM26" i="9"/>
  <c r="AM80" i="9"/>
  <c r="AM96" i="9"/>
  <c r="AM71" i="9"/>
  <c r="AL242" i="9"/>
  <c r="AL240" i="9"/>
  <c r="AL238" i="9"/>
  <c r="AL236" i="9"/>
  <c r="AL234" i="9"/>
  <c r="AL232" i="9"/>
  <c r="AL230" i="9"/>
  <c r="AL228" i="9"/>
  <c r="AL226" i="9"/>
  <c r="AL224" i="9"/>
  <c r="AL222" i="9"/>
  <c r="AL220" i="9"/>
  <c r="AL218" i="9"/>
  <c r="AL216" i="9"/>
  <c r="AL214" i="9"/>
  <c r="AL212" i="9"/>
  <c r="AL210" i="9"/>
  <c r="AL206" i="9"/>
  <c r="AL204" i="9"/>
  <c r="AL202" i="9"/>
  <c r="AL200" i="9"/>
  <c r="AL198" i="9"/>
  <c r="AL196" i="9"/>
  <c r="AL194" i="9"/>
  <c r="AL192" i="9"/>
  <c r="AL190" i="9"/>
  <c r="AL188" i="9"/>
  <c r="AL186" i="9"/>
  <c r="AL184" i="9"/>
  <c r="AL182" i="9"/>
  <c r="AL180" i="9"/>
  <c r="AL176" i="9"/>
  <c r="AL174" i="9"/>
  <c r="AL172" i="9"/>
  <c r="AL170" i="9"/>
  <c r="AL166" i="9"/>
  <c r="AL164" i="9"/>
  <c r="AL162" i="9"/>
  <c r="AL160" i="9"/>
  <c r="AL158" i="9"/>
  <c r="AL154" i="9"/>
  <c r="AL152" i="9"/>
  <c r="AL150" i="9"/>
  <c r="AL148" i="9"/>
  <c r="AL146" i="9"/>
  <c r="AL142" i="9"/>
  <c r="AL140" i="9"/>
  <c r="AL138" i="9"/>
  <c r="AL136" i="9"/>
  <c r="AL134" i="9"/>
  <c r="AL132" i="9"/>
  <c r="AL130" i="9"/>
  <c r="AL128" i="9"/>
  <c r="AL126" i="9"/>
  <c r="AL122" i="9"/>
  <c r="AL120" i="9"/>
  <c r="AL118" i="9"/>
  <c r="AL116" i="9"/>
  <c r="AL114" i="9"/>
  <c r="AL112" i="9"/>
  <c r="AL110" i="9"/>
  <c r="AL108" i="9"/>
  <c r="AL106" i="9"/>
  <c r="AL104" i="9"/>
  <c r="AL102" i="9"/>
  <c r="AL100" i="9"/>
  <c r="AL98" i="9"/>
  <c r="AL95" i="9"/>
  <c r="AL93" i="9"/>
  <c r="AL91" i="9"/>
  <c r="AL89" i="9"/>
  <c r="AL87" i="9"/>
  <c r="AL85" i="9"/>
  <c r="AL83" i="9"/>
  <c r="AL81" i="9"/>
  <c r="AL79" i="9"/>
  <c r="AL77" i="9"/>
  <c r="AL75" i="9"/>
  <c r="AL73" i="9"/>
  <c r="AL71" i="9"/>
  <c r="AL69" i="9"/>
  <c r="AL67" i="9"/>
  <c r="AL65" i="9"/>
  <c r="AL63" i="9"/>
  <c r="AL61" i="9"/>
  <c r="AL56" i="9"/>
  <c r="AL54" i="9"/>
  <c r="AL52" i="9"/>
  <c r="AL50" i="9"/>
  <c r="AL45" i="9"/>
  <c r="AL43" i="9"/>
  <c r="AL41" i="9"/>
  <c r="AL39" i="9"/>
  <c r="AL37" i="9"/>
  <c r="AL34" i="9"/>
  <c r="AL32" i="9"/>
  <c r="AL30" i="9"/>
  <c r="AL28" i="9"/>
  <c r="AL26" i="9"/>
  <c r="AL22" i="9"/>
  <c r="AL20" i="9"/>
  <c r="AL18" i="9"/>
  <c r="AL16" i="9"/>
  <c r="AL14" i="9"/>
  <c r="AL12" i="9"/>
  <c r="AL10" i="9"/>
  <c r="AL8" i="9"/>
  <c r="AL6" i="9"/>
  <c r="AM7" i="9"/>
  <c r="AM8" i="9"/>
  <c r="AM25" i="9"/>
  <c r="AM81" i="9"/>
  <c r="AM90" i="9"/>
  <c r="AK241" i="9"/>
  <c r="AK237" i="9"/>
  <c r="AK233" i="9"/>
  <c r="AK229" i="9"/>
  <c r="AK225" i="9"/>
  <c r="AK221" i="9"/>
  <c r="AK217" i="9"/>
  <c r="AK213" i="9"/>
  <c r="AK209" i="9"/>
  <c r="AK205" i="9"/>
  <c r="AK201" i="9"/>
  <c r="AK197" i="9"/>
  <c r="AK193" i="9"/>
  <c r="AK189" i="9"/>
  <c r="AK185" i="9"/>
  <c r="AK181" i="9"/>
  <c r="AK177" i="9"/>
  <c r="AK173" i="9"/>
  <c r="AK169" i="9"/>
  <c r="AK165" i="9"/>
  <c r="AK161" i="9"/>
  <c r="AK157" i="9"/>
  <c r="AK153" i="9"/>
  <c r="AK149" i="9"/>
  <c r="AK145" i="9"/>
  <c r="AK141" i="9"/>
  <c r="AK137" i="9"/>
  <c r="AK133" i="9"/>
  <c r="AK129" i="9"/>
  <c r="AK125" i="9"/>
  <c r="AK121" i="9"/>
  <c r="AK117" i="9"/>
  <c r="AK113" i="9"/>
  <c r="AK109" i="9"/>
  <c r="AK105" i="9"/>
  <c r="AK101" i="9"/>
  <c r="AK97" i="9"/>
  <c r="AK92" i="9"/>
  <c r="AK84" i="9"/>
  <c r="AK80" i="9"/>
  <c r="AK76" i="9"/>
  <c r="AK72" i="9"/>
  <c r="AM122" i="9"/>
  <c r="AM118" i="9"/>
  <c r="AM113" i="9"/>
  <c r="AM107" i="9"/>
  <c r="AM100" i="9"/>
  <c r="AM87" i="9"/>
  <c r="AM77" i="9"/>
  <c r="AM66" i="9"/>
  <c r="AM45" i="9"/>
  <c r="AM31" i="9"/>
  <c r="AM16" i="9"/>
  <c r="AM234" i="9"/>
  <c r="AM42" i="9"/>
  <c r="AM27" i="9"/>
  <c r="AM137" i="9"/>
  <c r="AM151" i="9"/>
  <c r="AM164" i="9"/>
  <c r="AM176" i="9"/>
  <c r="AM187" i="9"/>
  <c r="AM197" i="9"/>
  <c r="AM206" i="9"/>
  <c r="AM214" i="9"/>
  <c r="AM221" i="9"/>
  <c r="AM227" i="9"/>
  <c r="AM232" i="9"/>
  <c r="AM237" i="9"/>
  <c r="AM242" i="9"/>
  <c r="AM64" i="9"/>
  <c r="AM109" i="9"/>
  <c r="AM28" i="9"/>
  <c r="AM161" i="9"/>
  <c r="AM181" i="9"/>
  <c r="AM193" i="9"/>
  <c r="AM140" i="9"/>
  <c r="AM125" i="9"/>
  <c r="AM172" i="9"/>
  <c r="AK5" i="9"/>
  <c r="AK9" i="9"/>
  <c r="AK13" i="9"/>
  <c r="AK17" i="9"/>
  <c r="AK21" i="9"/>
  <c r="AK25" i="9"/>
  <c r="AK29" i="9"/>
  <c r="AK33" i="9"/>
  <c r="AK38" i="9"/>
  <c r="AK42" i="9"/>
  <c r="AK46" i="9"/>
  <c r="AK51" i="9"/>
  <c r="AK55" i="9"/>
  <c r="AK59" i="9"/>
  <c r="AK64" i="9"/>
  <c r="AK68" i="9"/>
  <c r="AK74" i="9"/>
  <c r="AK82" i="9"/>
  <c r="AK94" i="9"/>
  <c r="AK103" i="9"/>
  <c r="AK111" i="9"/>
  <c r="AK119" i="9"/>
  <c r="AK127" i="9"/>
  <c r="AK135" i="9"/>
  <c r="AK143" i="9"/>
  <c r="AK151" i="9"/>
  <c r="AK159" i="9"/>
  <c r="AK175" i="9"/>
  <c r="AK183" i="9"/>
  <c r="AK191" i="9"/>
  <c r="AK199" i="9"/>
  <c r="AK207" i="9"/>
  <c r="AK215" i="9"/>
  <c r="AK223" i="9"/>
  <c r="AK231" i="9"/>
  <c r="AK239" i="9"/>
  <c r="AM39" i="9"/>
  <c r="AM37" i="9"/>
  <c r="AL5" i="9"/>
  <c r="AL9" i="9"/>
  <c r="AL13" i="9"/>
  <c r="AL17" i="9"/>
  <c r="AL21" i="9"/>
  <c r="AL27" i="9"/>
  <c r="AL31" i="9"/>
  <c r="AL35" i="9"/>
  <c r="AL40" i="9"/>
  <c r="AL44" i="9"/>
  <c r="AL51" i="9"/>
  <c r="AL55" i="9"/>
  <c r="AL62" i="9"/>
  <c r="AL66" i="9"/>
  <c r="AL70" i="9"/>
  <c r="AL74" i="9"/>
  <c r="AL78" i="9"/>
  <c r="AL82" i="9"/>
  <c r="AL86" i="9"/>
  <c r="AL90" i="9"/>
  <c r="AL94" i="9"/>
  <c r="AL99" i="9"/>
  <c r="AL103" i="9"/>
  <c r="AL107" i="9"/>
  <c r="AL111" i="9"/>
  <c r="AL115" i="9"/>
  <c r="AL119" i="9"/>
  <c r="AL123" i="9"/>
  <c r="AL125" i="9"/>
  <c r="AL129" i="9"/>
  <c r="AL133" i="9"/>
  <c r="AL137" i="9"/>
  <c r="AL141" i="9"/>
  <c r="AL147" i="9"/>
  <c r="AL151" i="9"/>
  <c r="AL155" i="9"/>
  <c r="AL157" i="9"/>
  <c r="AL161" i="9"/>
  <c r="AL165" i="9"/>
  <c r="AL171" i="9"/>
  <c r="AL175" i="9"/>
  <c r="AL181" i="9"/>
  <c r="AL185" i="9"/>
  <c r="AL189" i="9"/>
  <c r="AL193" i="9"/>
  <c r="AL197" i="9"/>
  <c r="AL201" i="9"/>
  <c r="AL205" i="9"/>
  <c r="AL211" i="9"/>
  <c r="AL215" i="9"/>
  <c r="AL219" i="9"/>
  <c r="AL223" i="9"/>
  <c r="AL227" i="9"/>
  <c r="AL231" i="9"/>
  <c r="AL235" i="9"/>
  <c r="AL239" i="9"/>
  <c r="AL243" i="9"/>
  <c r="AM89" i="9"/>
  <c r="AM38" i="9"/>
  <c r="AM10" i="9"/>
  <c r="AM69" i="9"/>
  <c r="AM35" i="9"/>
  <c r="AM23" i="9"/>
  <c r="B11" i="2" l="1"/>
  <c r="B11" i="5" s="1"/>
  <c r="B13" i="14"/>
  <c r="S25" i="15"/>
  <c r="O37" i="15" s="1"/>
  <c r="U25" i="15"/>
  <c r="M37" i="15" s="1"/>
  <c r="S16" i="15"/>
  <c r="I40" i="15" s="1"/>
  <c r="U16" i="15"/>
  <c r="G40" i="15" s="1"/>
  <c r="P28" i="15"/>
  <c r="O34" i="15" s="1"/>
  <c r="R28" i="15"/>
  <c r="M34" i="15" s="1"/>
  <c r="R16" i="15"/>
  <c r="G34" i="15" s="1"/>
  <c r="P16" i="15"/>
  <c r="I34" i="15" s="1"/>
  <c r="S13" i="15"/>
  <c r="I37" i="15" s="1"/>
  <c r="U13" i="15"/>
  <c r="G37" i="15" s="1"/>
  <c r="S31" i="15"/>
  <c r="R37" i="15" s="1"/>
  <c r="U31" i="15"/>
  <c r="P37" i="15" s="1"/>
  <c r="M13" i="15"/>
  <c r="I25" i="15" s="1"/>
  <c r="O13" i="15"/>
  <c r="G25" i="15" s="1"/>
  <c r="O19" i="15"/>
  <c r="J25" i="15" s="1"/>
  <c r="M19" i="15"/>
  <c r="L25" i="15" s="1"/>
  <c r="L16" i="15"/>
  <c r="G22" i="15" s="1"/>
  <c r="J16" i="15"/>
  <c r="I22" i="15" s="1"/>
  <c r="M16" i="15"/>
  <c r="I28" i="15" s="1"/>
  <c r="O16" i="15"/>
  <c r="G28" i="15" s="1"/>
  <c r="U19" i="15"/>
  <c r="J37" i="15" s="1"/>
  <c r="S19" i="15"/>
  <c r="L37" i="15" s="1"/>
  <c r="S28" i="15"/>
  <c r="O40" i="15" s="1"/>
  <c r="U28" i="15"/>
  <c r="M40" i="15" s="1"/>
  <c r="P25" i="15"/>
  <c r="O31" i="15" s="1"/>
  <c r="R25" i="15"/>
  <c r="M31" i="15" s="1"/>
  <c r="R22" i="15"/>
  <c r="J34" i="15" s="1"/>
  <c r="P22" i="15"/>
  <c r="L34" i="15" s="1"/>
  <c r="L13" i="15"/>
  <c r="J13" i="15"/>
  <c r="P19" i="15"/>
  <c r="L31" i="15" s="1"/>
  <c r="R19" i="15"/>
  <c r="J31" i="15" s="1"/>
  <c r="P13" i="15"/>
  <c r="I31" i="15" s="1"/>
  <c r="R13" i="15"/>
  <c r="G31" i="15" s="1"/>
  <c r="U34" i="15"/>
  <c r="P40" i="15" s="1"/>
  <c r="S34" i="15"/>
  <c r="R40" i="15" s="1"/>
  <c r="U22" i="15"/>
  <c r="J40" i="15" s="1"/>
  <c r="S22" i="15"/>
  <c r="L40" i="15" s="1"/>
  <c r="M22" i="15"/>
  <c r="L28" i="15" s="1"/>
  <c r="O22" i="15"/>
  <c r="J28" i="15" s="1"/>
  <c r="J26" i="15" s="1"/>
  <c r="P28" i="8"/>
  <c r="M22" i="8"/>
  <c r="O16" i="8"/>
  <c r="G28" i="8" s="1"/>
  <c r="M16" i="8"/>
  <c r="I28" i="8" s="1"/>
  <c r="R16" i="8"/>
  <c r="G34" i="8" s="1"/>
  <c r="P16" i="8"/>
  <c r="I34" i="8" s="1"/>
  <c r="R22" i="8"/>
  <c r="J34" i="8" s="1"/>
  <c r="P22" i="8"/>
  <c r="L16" i="8"/>
  <c r="G22" i="8" s="1"/>
  <c r="J16" i="8"/>
  <c r="I22" i="8" s="1"/>
  <c r="R28" i="8"/>
  <c r="O22" i="8"/>
  <c r="J28" i="8" s="1"/>
  <c r="S28" i="8"/>
  <c r="U28" i="8"/>
  <c r="U22" i="8"/>
  <c r="S16" i="8"/>
  <c r="U16" i="8"/>
  <c r="G40" i="8" s="1"/>
  <c r="U34" i="8"/>
  <c r="P40" i="8" s="1"/>
  <c r="S22" i="8"/>
  <c r="S34" i="8"/>
  <c r="U31" i="8"/>
  <c r="U19" i="8"/>
  <c r="J37" i="8" s="1"/>
  <c r="S19" i="8"/>
  <c r="O19" i="8"/>
  <c r="M19" i="8"/>
  <c r="P19" i="8"/>
  <c r="R19" i="8"/>
  <c r="J31" i="8" s="1"/>
  <c r="B15" i="12"/>
  <c r="S13" i="8"/>
  <c r="U25" i="8"/>
  <c r="M37" i="8" s="1"/>
  <c r="P25" i="8"/>
  <c r="O31" i="8" s="1"/>
  <c r="R13" i="8"/>
  <c r="B30" i="9"/>
  <c r="B32" i="9"/>
  <c r="B29" i="9"/>
  <c r="B33" i="9"/>
  <c r="B28" i="9"/>
  <c r="B10" i="5"/>
  <c r="B31" i="9"/>
  <c r="L13" i="8"/>
  <c r="J13" i="8"/>
  <c r="S31" i="8"/>
  <c r="O13" i="8"/>
  <c r="M13" i="8"/>
  <c r="P13" i="8"/>
  <c r="S25" i="8"/>
  <c r="O37" i="8" s="1"/>
  <c r="R25" i="8"/>
  <c r="M31" i="8" s="1"/>
  <c r="U13" i="8"/>
  <c r="P38" i="15" l="1"/>
  <c r="J38" i="15"/>
  <c r="G23" i="15"/>
  <c r="M20" i="8"/>
  <c r="S20" i="15"/>
  <c r="S32" i="15"/>
  <c r="M20" i="15"/>
  <c r="M11" i="15"/>
  <c r="J32" i="15"/>
  <c r="G32" i="15"/>
  <c r="G35" i="15"/>
  <c r="S11" i="15"/>
  <c r="P20" i="15"/>
  <c r="S26" i="8"/>
  <c r="M38" i="15"/>
  <c r="P14" i="15"/>
  <c r="S26" i="15"/>
  <c r="P26" i="8"/>
  <c r="M32" i="15"/>
  <c r="P26" i="15"/>
  <c r="G20" i="8"/>
  <c r="G20" i="15"/>
  <c r="J14" i="15"/>
  <c r="P35" i="15"/>
  <c r="J23" i="15"/>
  <c r="M17" i="15"/>
  <c r="S29" i="15"/>
  <c r="G26" i="15"/>
  <c r="J35" i="15"/>
  <c r="M35" i="15"/>
  <c r="S17" i="15"/>
  <c r="M14" i="15"/>
  <c r="G29" i="15"/>
  <c r="P11" i="15"/>
  <c r="S23" i="15"/>
  <c r="G38" i="15"/>
  <c r="J29" i="15"/>
  <c r="S14" i="15"/>
  <c r="P17" i="15"/>
  <c r="M29" i="15"/>
  <c r="B12" i="2"/>
  <c r="B12" i="5" s="1"/>
  <c r="B15" i="14"/>
  <c r="Z35" i="16"/>
  <c r="Y23" i="16"/>
  <c r="AA11" i="16"/>
  <c r="Y35" i="16"/>
  <c r="X35" i="16"/>
  <c r="W35" i="16"/>
  <c r="AA17" i="16"/>
  <c r="Z11" i="16"/>
  <c r="AA35" i="16"/>
  <c r="Z29" i="16"/>
  <c r="AA23" i="16"/>
  <c r="Y29" i="16"/>
  <c r="X29" i="16"/>
  <c r="W29" i="16"/>
  <c r="AA29" i="16"/>
  <c r="Z23" i="16"/>
  <c r="Y11" i="16"/>
  <c r="X11" i="16"/>
  <c r="W11" i="16"/>
  <c r="I19" i="15"/>
  <c r="AA17" i="15" s="1"/>
  <c r="Z11" i="15"/>
  <c r="AA29" i="15"/>
  <c r="J11" i="15"/>
  <c r="AA35" i="15"/>
  <c r="G19" i="15"/>
  <c r="AA11" i="15"/>
  <c r="Z29" i="15"/>
  <c r="P23" i="15"/>
  <c r="Z23" i="15"/>
  <c r="AA23" i="15"/>
  <c r="Z35" i="15"/>
  <c r="L28" i="8"/>
  <c r="J26" i="8" s="1"/>
  <c r="S32" i="8"/>
  <c r="AA11" i="8"/>
  <c r="Z11" i="8"/>
  <c r="S20" i="8"/>
  <c r="J14" i="8"/>
  <c r="M14" i="8"/>
  <c r="R40" i="8"/>
  <c r="P38" i="8" s="1"/>
  <c r="S17" i="8"/>
  <c r="L37" i="8"/>
  <c r="J35" i="8" s="1"/>
  <c r="M34" i="8"/>
  <c r="M40" i="8"/>
  <c r="O34" i="8"/>
  <c r="O40" i="8"/>
  <c r="P20" i="8"/>
  <c r="L34" i="8"/>
  <c r="J32" i="8" s="1"/>
  <c r="J40" i="8"/>
  <c r="L40" i="8"/>
  <c r="S14" i="8"/>
  <c r="I40" i="8"/>
  <c r="G38" i="8" s="1"/>
  <c r="L25" i="8"/>
  <c r="L31" i="8"/>
  <c r="J29" i="8" s="1"/>
  <c r="P14" i="8"/>
  <c r="M17" i="8"/>
  <c r="P17" i="8"/>
  <c r="M35" i="8"/>
  <c r="G37" i="8"/>
  <c r="R37" i="8"/>
  <c r="I37" i="8"/>
  <c r="P37" i="8"/>
  <c r="M29" i="8"/>
  <c r="I31" i="8"/>
  <c r="G31" i="8"/>
  <c r="G32" i="8"/>
  <c r="G25" i="8"/>
  <c r="G26" i="8"/>
  <c r="J25" i="8"/>
  <c r="I25" i="8"/>
  <c r="I19" i="8"/>
  <c r="AA17" i="8" s="1"/>
  <c r="G19" i="8"/>
  <c r="Z17" i="8" s="1"/>
  <c r="S11" i="8"/>
  <c r="S23" i="8"/>
  <c r="S29" i="8"/>
  <c r="P23" i="8"/>
  <c r="J11" i="8"/>
  <c r="M11" i="8"/>
  <c r="P11" i="8"/>
  <c r="B34" i="9"/>
  <c r="B37" i="9"/>
  <c r="B38" i="9"/>
  <c r="B36" i="9"/>
  <c r="B35" i="9"/>
  <c r="B39" i="9"/>
  <c r="J23" i="8" l="1"/>
  <c r="Y35" i="15"/>
  <c r="M38" i="8"/>
  <c r="M32" i="8"/>
  <c r="W35" i="15"/>
  <c r="X35" i="15"/>
  <c r="Z29" i="8"/>
  <c r="W29" i="15"/>
  <c r="Y23" i="15"/>
  <c r="Y29" i="15"/>
  <c r="X29" i="15"/>
  <c r="B17" i="12"/>
  <c r="B13" i="2"/>
  <c r="B51" i="9" s="1"/>
  <c r="B17" i="14"/>
  <c r="X23" i="16"/>
  <c r="W23" i="16"/>
  <c r="AB11" i="16"/>
  <c r="AB35" i="16"/>
  <c r="AB23" i="16"/>
  <c r="V35" i="16"/>
  <c r="AC35" i="16"/>
  <c r="V11" i="16"/>
  <c r="AC11" i="16"/>
  <c r="AS11" i="16" s="1"/>
  <c r="AB29" i="16"/>
  <c r="AC29" i="16"/>
  <c r="V29" i="16"/>
  <c r="Z17" i="16"/>
  <c r="AB17" i="16" s="1"/>
  <c r="AB35" i="15"/>
  <c r="AB29" i="15"/>
  <c r="W23" i="15"/>
  <c r="AB23" i="15"/>
  <c r="X23" i="15"/>
  <c r="Z17" i="15"/>
  <c r="AB17" i="15" s="1"/>
  <c r="G17" i="15"/>
  <c r="AB11" i="15"/>
  <c r="X11" i="15"/>
  <c r="W11" i="15"/>
  <c r="Y11" i="15"/>
  <c r="AA23" i="8"/>
  <c r="AA35" i="8"/>
  <c r="G23" i="8"/>
  <c r="Z23" i="8"/>
  <c r="AA29" i="8"/>
  <c r="G35" i="8"/>
  <c r="Z35" i="8"/>
  <c r="Y11" i="8"/>
  <c r="X11" i="8"/>
  <c r="W11" i="8"/>
  <c r="J38" i="8"/>
  <c r="G29" i="8"/>
  <c r="P35" i="8"/>
  <c r="AB17" i="8"/>
  <c r="G17" i="8"/>
  <c r="B13" i="5"/>
  <c r="B47" i="9"/>
  <c r="B40" i="9"/>
  <c r="B41" i="9"/>
  <c r="B45" i="9"/>
  <c r="B44" i="9"/>
  <c r="B43" i="9"/>
  <c r="B42" i="9"/>
  <c r="AB11" i="8"/>
  <c r="AC35" i="15" l="1"/>
  <c r="AS35" i="15" s="1"/>
  <c r="V35" i="15"/>
  <c r="V29" i="15"/>
  <c r="AC29" i="15"/>
  <c r="AS29" i="15" s="1"/>
  <c r="B46" i="9"/>
  <c r="B48" i="9"/>
  <c r="B50" i="9"/>
  <c r="B19" i="12"/>
  <c r="B49" i="9"/>
  <c r="B14" i="2"/>
  <c r="B54" i="9" s="1"/>
  <c r="B19" i="14"/>
  <c r="AS29" i="16"/>
  <c r="AC23" i="16"/>
  <c r="V23" i="16"/>
  <c r="AS35" i="16"/>
  <c r="AS23" i="16"/>
  <c r="X17" i="16"/>
  <c r="W17" i="16"/>
  <c r="Y17" i="16"/>
  <c r="V11" i="15"/>
  <c r="AC11" i="15"/>
  <c r="AS11" i="15" s="1"/>
  <c r="X17" i="15"/>
  <c r="W17" i="15"/>
  <c r="Y17" i="15"/>
  <c r="V23" i="15"/>
  <c r="AC23" i="15"/>
  <c r="AS23" i="15" s="1"/>
  <c r="AB35" i="8"/>
  <c r="X35" i="8"/>
  <c r="Y35" i="8"/>
  <c r="W35" i="8"/>
  <c r="X29" i="8"/>
  <c r="Y29" i="8"/>
  <c r="W29" i="8"/>
  <c r="X23" i="8"/>
  <c r="Y23" i="8"/>
  <c r="W23" i="8"/>
  <c r="X17" i="8"/>
  <c r="Y17" i="8"/>
  <c r="W17" i="8"/>
  <c r="V11" i="8"/>
  <c r="AB29" i="8"/>
  <c r="AB23" i="8"/>
  <c r="I2" i="7"/>
  <c r="AC11" i="8"/>
  <c r="AS11" i="8" s="1"/>
  <c r="B52" i="9" l="1"/>
  <c r="B56" i="9"/>
  <c r="B57" i="9"/>
  <c r="B15" i="2"/>
  <c r="B62" i="9" s="1"/>
  <c r="B21" i="12"/>
  <c r="B14" i="5"/>
  <c r="B53" i="9"/>
  <c r="B55" i="9"/>
  <c r="B21" i="14"/>
  <c r="AC17" i="16"/>
  <c r="AS17" i="16" s="1"/>
  <c r="V17" i="16"/>
  <c r="AC17" i="15"/>
  <c r="AS17" i="15" s="1"/>
  <c r="V17" i="15"/>
  <c r="AC35" i="8"/>
  <c r="AS35" i="8" s="1"/>
  <c r="AC29" i="8"/>
  <c r="AS29" i="8" s="1"/>
  <c r="V23" i="8"/>
  <c r="V35" i="8"/>
  <c r="AC23" i="8"/>
  <c r="AS23" i="8" s="1"/>
  <c r="V17" i="8"/>
  <c r="V29" i="8"/>
  <c r="AC17" i="8"/>
  <c r="AS17" i="8" s="1"/>
  <c r="B60" i="9"/>
  <c r="B58" i="9"/>
  <c r="B63" i="9" l="1"/>
  <c r="B23" i="14"/>
  <c r="B23" i="12"/>
  <c r="Z2" i="7"/>
  <c r="B59" i="9"/>
  <c r="B61" i="9"/>
  <c r="B15" i="5"/>
  <c r="AD17" i="16"/>
  <c r="AD35" i="16"/>
  <c r="AD23" i="16"/>
  <c r="AD11" i="16"/>
  <c r="AD29" i="16"/>
  <c r="AD17" i="15"/>
  <c r="AD35" i="15"/>
  <c r="AD11" i="15"/>
  <c r="AD29" i="15"/>
  <c r="AD23" i="15"/>
  <c r="AD29" i="8"/>
  <c r="AD11" i="8"/>
  <c r="AD17" i="8"/>
  <c r="AD23" i="8"/>
  <c r="AD35" i="8"/>
</calcChain>
</file>

<file path=xl/sharedStrings.xml><?xml version="1.0" encoding="utf-8"?>
<sst xmlns="http://schemas.openxmlformats.org/spreadsheetml/2006/main" count="628" uniqueCount="146">
  <si>
    <t>vs</t>
  </si>
  <si>
    <t>A</t>
  </si>
  <si>
    <t>B</t>
  </si>
  <si>
    <t>C</t>
  </si>
  <si>
    <t>D</t>
  </si>
  <si>
    <t>E</t>
  </si>
  <si>
    <t>西</t>
    <rPh sb="0" eb="1">
      <t>ニシ</t>
    </rPh>
    <phoneticPr fontId="19"/>
  </si>
  <si>
    <t>東</t>
    <rPh sb="0" eb="1">
      <t>ヒガシ</t>
    </rPh>
    <phoneticPr fontId="19"/>
  </si>
  <si>
    <t>【</t>
    <phoneticPr fontId="21"/>
  </si>
  <si>
    <t>】【</t>
    <phoneticPr fontId="21"/>
  </si>
  <si>
    <t>】</t>
    <phoneticPr fontId="21"/>
  </si>
  <si>
    <t>開催日</t>
    <rPh sb="0" eb="3">
      <t>カイサイビ</t>
    </rPh>
    <phoneticPr fontId="21"/>
  </si>
  <si>
    <t>リーグ戦参加料受領確認書</t>
    <rPh sb="3" eb="4">
      <t>セン</t>
    </rPh>
    <rPh sb="4" eb="7">
      <t>サンカリョウ</t>
    </rPh>
    <rPh sb="7" eb="9">
      <t>ジュリョウ</t>
    </rPh>
    <rPh sb="9" eb="12">
      <t>カクニンショ</t>
    </rPh>
    <phoneticPr fontId="19"/>
  </si>
  <si>
    <t>節</t>
    <rPh sb="0" eb="1">
      <t>セツ</t>
    </rPh>
    <phoneticPr fontId="19"/>
  </si>
  <si>
    <t>日程</t>
    <rPh sb="0" eb="2">
      <t>ニッテイ</t>
    </rPh>
    <phoneticPr fontId="19"/>
  </si>
  <si>
    <t>参加チーム名</t>
    <rPh sb="0" eb="2">
      <t>サンカ</t>
    </rPh>
    <rPh sb="5" eb="6">
      <t>メイ</t>
    </rPh>
    <phoneticPr fontId="19"/>
  </si>
  <si>
    <t>フェアプレー
ランキング</t>
    <phoneticPr fontId="19"/>
  </si>
  <si>
    <t>○</t>
    <phoneticPr fontId="19"/>
  </si>
  <si>
    <t>勝（勝点3）</t>
    <rPh sb="0" eb="1">
      <t>カチ</t>
    </rPh>
    <rPh sb="2" eb="3">
      <t>カチ</t>
    </rPh>
    <rPh sb="3" eb="4">
      <t>テン</t>
    </rPh>
    <phoneticPr fontId="19"/>
  </si>
  <si>
    <t>●</t>
    <phoneticPr fontId="19"/>
  </si>
  <si>
    <t>負（勝点0）</t>
    <rPh sb="0" eb="1">
      <t>マケ</t>
    </rPh>
    <phoneticPr fontId="19"/>
  </si>
  <si>
    <t>分（勝点1）</t>
    <rPh sb="0" eb="1">
      <t>ワケ</t>
    </rPh>
    <phoneticPr fontId="19"/>
  </si>
  <si>
    <t>順位＝勝ち点＞得失点差＞総得点</t>
    <rPh sb="14" eb="15">
      <t>テン</t>
    </rPh>
    <phoneticPr fontId="19"/>
  </si>
  <si>
    <t>試合数</t>
    <rPh sb="0" eb="2">
      <t>シアイ</t>
    </rPh>
    <rPh sb="2" eb="3">
      <t>スウ</t>
    </rPh>
    <phoneticPr fontId="19"/>
  </si>
  <si>
    <t>勝</t>
    <rPh sb="0" eb="1">
      <t>カチ</t>
    </rPh>
    <phoneticPr fontId="19"/>
  </si>
  <si>
    <t>負</t>
    <rPh sb="0" eb="1">
      <t>マケ</t>
    </rPh>
    <phoneticPr fontId="19"/>
  </si>
  <si>
    <t>分</t>
    <rPh sb="0" eb="1">
      <t>ワケ</t>
    </rPh>
    <phoneticPr fontId="19"/>
  </si>
  <si>
    <t>得点</t>
    <rPh sb="0" eb="2">
      <t>トクテン</t>
    </rPh>
    <phoneticPr fontId="19"/>
  </si>
  <si>
    <t>失点</t>
    <rPh sb="0" eb="2">
      <t>シッテン</t>
    </rPh>
    <phoneticPr fontId="19"/>
  </si>
  <si>
    <t>差</t>
    <rPh sb="0" eb="1">
      <t>サ</t>
    </rPh>
    <phoneticPr fontId="19"/>
  </si>
  <si>
    <t>勝ち点</t>
    <rPh sb="0" eb="1">
      <t>カ</t>
    </rPh>
    <rPh sb="2" eb="3">
      <t>テン</t>
    </rPh>
    <phoneticPr fontId="19"/>
  </si>
  <si>
    <t>順位</t>
    <rPh sb="0" eb="2">
      <t>ジュンイ</t>
    </rPh>
    <phoneticPr fontId="19"/>
  </si>
  <si>
    <t>チーム名</t>
    <rPh sb="3" eb="4">
      <t>メイ</t>
    </rPh>
    <phoneticPr fontId="19"/>
  </si>
  <si>
    <t>試合マナー</t>
    <rPh sb="0" eb="2">
      <t>シアイ</t>
    </rPh>
    <phoneticPr fontId="19"/>
  </si>
  <si>
    <t>喫煙マナー</t>
    <rPh sb="0" eb="2">
      <t>キツエン</t>
    </rPh>
    <phoneticPr fontId="19"/>
  </si>
  <si>
    <t>合計</t>
    <rPh sb="0" eb="2">
      <t>ゴウケイ</t>
    </rPh>
    <phoneticPr fontId="19"/>
  </si>
  <si>
    <t>ファール数</t>
    <rPh sb="4" eb="5">
      <t>スウ</t>
    </rPh>
    <phoneticPr fontId="19"/>
  </si>
  <si>
    <t>警告数</t>
    <rPh sb="0" eb="2">
      <t>ケイコク</t>
    </rPh>
    <rPh sb="2" eb="3">
      <t>スウ</t>
    </rPh>
    <phoneticPr fontId="19"/>
  </si>
  <si>
    <t>―</t>
    <phoneticPr fontId="19"/>
  </si>
  <si>
    <t>退場</t>
    <rPh sb="0" eb="2">
      <t>タイジョウ</t>
    </rPh>
    <phoneticPr fontId="19"/>
  </si>
  <si>
    <t>参加チーム</t>
    <rPh sb="0" eb="2">
      <t>サンカ</t>
    </rPh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</si>
  <si>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</si>
  <si>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</si>
  <si>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</si>
  <si>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</si>
  <si>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</si>
  <si>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</si>
  <si>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</si>
  <si>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</si>
  <si>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</si>
  <si>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</si>
  <si>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K</t>
    <phoneticPr fontId="21"/>
  </si>
  <si>
    <t>L</t>
    <phoneticPr fontId="21"/>
  </si>
  <si>
    <t>開催日：</t>
    <rPh sb="0" eb="3">
      <t>カイサイビ</t>
    </rPh>
    <phoneticPr fontId="19"/>
  </si>
  <si>
    <t>ステージ詳細：</t>
    <rPh sb="4" eb="6">
      <t>ショウサイ</t>
    </rPh>
    <phoneticPr fontId="19"/>
  </si>
  <si>
    <t>~</t>
    <phoneticPr fontId="19"/>
  </si>
  <si>
    <t>使用
コート</t>
    <rPh sb="0" eb="2">
      <t>シヨウ</t>
    </rPh>
    <phoneticPr fontId="19"/>
  </si>
  <si>
    <t>対戦カード</t>
    <rPh sb="0" eb="2">
      <t>タイセン</t>
    </rPh>
    <phoneticPr fontId="19"/>
  </si>
  <si>
    <t>前半</t>
    <rPh sb="0" eb="2">
      <t>ゼンハン</t>
    </rPh>
    <phoneticPr fontId="19"/>
  </si>
  <si>
    <t>特記事項</t>
    <rPh sb="0" eb="2">
      <t>トッキ</t>
    </rPh>
    <rPh sb="2" eb="4">
      <t>ジコウ</t>
    </rPh>
    <phoneticPr fontId="19"/>
  </si>
  <si>
    <t>後半</t>
    <rPh sb="0" eb="2">
      <t>コウハン</t>
    </rPh>
    <phoneticPr fontId="19"/>
  </si>
  <si>
    <t>警告・退場</t>
    <rPh sb="0" eb="2">
      <t>ケイコク</t>
    </rPh>
    <rPh sb="3" eb="5">
      <t>タイジョウ</t>
    </rPh>
    <phoneticPr fontId="19"/>
  </si>
  <si>
    <t>備考</t>
    <rPh sb="0" eb="2">
      <t>ビコウ</t>
    </rPh>
    <phoneticPr fontId="19"/>
  </si>
  <si>
    <t>vs</t>
    <phoneticPr fontId="19"/>
  </si>
  <si>
    <t>vs</t>
    <phoneticPr fontId="19"/>
  </si>
  <si>
    <t>ファール</t>
    <phoneticPr fontId="19"/>
  </si>
  <si>
    <t>レフリー</t>
    <phoneticPr fontId="19"/>
  </si>
  <si>
    <t>―</t>
  </si>
  <si>
    <t>試合NO</t>
    <rPh sb="0" eb="2">
      <t>シアイ</t>
    </rPh>
    <phoneticPr fontId="19"/>
  </si>
  <si>
    <t>試合なし</t>
    <rPh sb="0" eb="2">
      <t>シアイ</t>
    </rPh>
    <phoneticPr fontId="19"/>
  </si>
  <si>
    <t>対戦</t>
    <rPh sb="0" eb="2">
      <t>タイセン</t>
    </rPh>
    <phoneticPr fontId="19"/>
  </si>
  <si>
    <t>実施節</t>
    <rPh sb="0" eb="2">
      <t>ジッシ</t>
    </rPh>
    <rPh sb="2" eb="3">
      <t>セツ</t>
    </rPh>
    <phoneticPr fontId="19"/>
  </si>
  <si>
    <t>△</t>
    <phoneticPr fontId="19"/>
  </si>
  <si>
    <t>total</t>
    <phoneticPr fontId="19"/>
  </si>
  <si>
    <t>point</t>
    <phoneticPr fontId="19"/>
  </si>
  <si>
    <t>ランク</t>
    <phoneticPr fontId="19"/>
  </si>
  <si>
    <t>M</t>
    <phoneticPr fontId="21"/>
  </si>
  <si>
    <t>N</t>
    <phoneticPr fontId="21"/>
  </si>
  <si>
    <t>O</t>
    <phoneticPr fontId="21"/>
  </si>
  <si>
    <t>P</t>
    <phoneticPr fontId="21"/>
  </si>
  <si>
    <t>スコア</t>
    <phoneticPr fontId="19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</si>
  <si>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</si>
  <si>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</si>
  <si>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</si>
  <si>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</si>
  <si>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</si>
  <si>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</si>
  <si>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</si>
  <si>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</si>
  <si>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</si>
  <si>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</si>
  <si>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K</t>
    <phoneticPr fontId="21"/>
  </si>
  <si>
    <t>L</t>
    <phoneticPr fontId="21"/>
  </si>
  <si>
    <t>M</t>
    <phoneticPr fontId="21"/>
  </si>
  <si>
    <t>N</t>
    <phoneticPr fontId="21"/>
  </si>
  <si>
    <t>O</t>
    <phoneticPr fontId="21"/>
  </si>
  <si>
    <t>P</t>
    <phoneticPr fontId="21"/>
  </si>
  <si>
    <t>スケジュール作成上の注意</t>
    <rPh sb="6" eb="9">
      <t>サクセイジョウ</t>
    </rPh>
    <rPh sb="10" eb="12">
      <t>チュウイ</t>
    </rPh>
    <phoneticPr fontId="21"/>
  </si>
  <si>
    <t>マスターファイルで作業をしないで下さい。新しいスケジュールを組むときは、必ずマスターファイルをコピーし、名前を変更してから利用してください。</t>
    <rPh sb="9" eb="11">
      <t>サギョウ</t>
    </rPh>
    <rPh sb="16" eb="17">
      <t>クダ</t>
    </rPh>
    <rPh sb="20" eb="21">
      <t>アタラ</t>
    </rPh>
    <rPh sb="30" eb="31">
      <t>ク</t>
    </rPh>
    <rPh sb="36" eb="37">
      <t>カナラ</t>
    </rPh>
    <rPh sb="52" eb="54">
      <t>ナマエ</t>
    </rPh>
    <rPh sb="55" eb="57">
      <t>ヘンコウ</t>
    </rPh>
    <rPh sb="61" eb="63">
      <t>リヨウ</t>
    </rPh>
    <phoneticPr fontId="21"/>
  </si>
  <si>
    <t>リーグ戦マスターファイルは、ファイル内のそれぞれのシートが連動しています。セル内の計算式の変更は厳禁です。</t>
    <rPh sb="3" eb="4">
      <t>セン</t>
    </rPh>
    <rPh sb="18" eb="19">
      <t>ナイ</t>
    </rPh>
    <rPh sb="29" eb="31">
      <t>レンドウ</t>
    </rPh>
    <phoneticPr fontId="21"/>
  </si>
  <si>
    <t>～リーグ戦新規ステージスケジュール作成、結果入力手順～</t>
    <rPh sb="4" eb="5">
      <t>セン</t>
    </rPh>
    <rPh sb="5" eb="7">
      <t>シンキ</t>
    </rPh>
    <rPh sb="17" eb="19">
      <t>サクセイ</t>
    </rPh>
    <rPh sb="20" eb="22">
      <t>ケッカ</t>
    </rPh>
    <rPh sb="22" eb="24">
      <t>ニュウリョク</t>
    </rPh>
    <rPh sb="24" eb="26">
      <t>テジュン</t>
    </rPh>
    <phoneticPr fontId="21"/>
  </si>
  <si>
    <t>③参加チームをX列に入力してください。参加チームから実施不可の要請がある場合は、基本的にはスケジュール変更をせず、当該日が休みにあたる、チームアルファベットに、そのチームをあてがってください。</t>
    <rPh sb="1" eb="3">
      <t>サンカ</t>
    </rPh>
    <rPh sb="8" eb="9">
      <t>レツ</t>
    </rPh>
    <rPh sb="10" eb="12">
      <t>ニュウリョク</t>
    </rPh>
    <rPh sb="19" eb="21">
      <t>サンカ</t>
    </rPh>
    <rPh sb="26" eb="28">
      <t>ジッシ</t>
    </rPh>
    <rPh sb="28" eb="30">
      <t>フカ</t>
    </rPh>
    <rPh sb="31" eb="33">
      <t>ヨウセイ</t>
    </rPh>
    <rPh sb="36" eb="38">
      <t>バアイ</t>
    </rPh>
    <rPh sb="40" eb="43">
      <t>キホンテキ</t>
    </rPh>
    <rPh sb="51" eb="53">
      <t>ヘンコウ</t>
    </rPh>
    <rPh sb="57" eb="59">
      <t>トウガイ</t>
    </rPh>
    <rPh sb="59" eb="60">
      <t>ビ</t>
    </rPh>
    <rPh sb="61" eb="62">
      <t>ヤス</t>
    </rPh>
    <phoneticPr fontId="21"/>
  </si>
  <si>
    <t>⑤対戦時間等を変更するためにセル移動する際に、対戦カード2チームの並びを変えないように注意してください。</t>
    <rPh sb="1" eb="3">
      <t>タイセン</t>
    </rPh>
    <rPh sb="3" eb="5">
      <t>ジカン</t>
    </rPh>
    <rPh sb="5" eb="6">
      <t>トウ</t>
    </rPh>
    <rPh sb="7" eb="9">
      <t>ヘンコウ</t>
    </rPh>
    <rPh sb="16" eb="18">
      <t>イドウ</t>
    </rPh>
    <rPh sb="20" eb="21">
      <t>サイ</t>
    </rPh>
    <rPh sb="23" eb="25">
      <t>タイセン</t>
    </rPh>
    <rPh sb="33" eb="34">
      <t>ナラ</t>
    </rPh>
    <rPh sb="36" eb="37">
      <t>カ</t>
    </rPh>
    <rPh sb="43" eb="45">
      <t>チュウイ</t>
    </rPh>
    <phoneticPr fontId="21"/>
  </si>
  <si>
    <t>⑥休みになっているチームを移動したい場合は、当該節を別の節とそのまま入替えてしまうのがベターかと思います。節を入れ替える場合は、(当該節の行の列Cから列R)までを選択し【切り取り】→【切り取ったセルの挿入】で移動してください。ただし、節を入替える際は、休みのチームが2週連続にならないよう注意してください。</t>
    <rPh sb="1" eb="2">
      <t>ヤス</t>
    </rPh>
    <rPh sb="13" eb="15">
      <t>イドウ</t>
    </rPh>
    <rPh sb="18" eb="20">
      <t>バアイ</t>
    </rPh>
    <rPh sb="22" eb="24">
      <t>トウガイ</t>
    </rPh>
    <rPh sb="24" eb="25">
      <t>セツ</t>
    </rPh>
    <rPh sb="26" eb="27">
      <t>ベツ</t>
    </rPh>
    <rPh sb="28" eb="29">
      <t>セツ</t>
    </rPh>
    <rPh sb="34" eb="36">
      <t>イレカ</t>
    </rPh>
    <rPh sb="48" eb="49">
      <t>オモ</t>
    </rPh>
    <rPh sb="53" eb="54">
      <t>セツ</t>
    </rPh>
    <rPh sb="55" eb="56">
      <t>イ</t>
    </rPh>
    <rPh sb="57" eb="58">
      <t>カ</t>
    </rPh>
    <rPh sb="60" eb="62">
      <t>バアイ</t>
    </rPh>
    <rPh sb="65" eb="67">
      <t>トウガイ</t>
    </rPh>
    <rPh sb="67" eb="68">
      <t>セツ</t>
    </rPh>
    <rPh sb="69" eb="70">
      <t>ギョウ</t>
    </rPh>
    <rPh sb="71" eb="72">
      <t>レツ</t>
    </rPh>
    <rPh sb="75" eb="76">
      <t>レツ</t>
    </rPh>
    <rPh sb="81" eb="83">
      <t>センタク</t>
    </rPh>
    <rPh sb="104" eb="106">
      <t>イドウ</t>
    </rPh>
    <rPh sb="117" eb="118">
      <t>セツ</t>
    </rPh>
    <rPh sb="119" eb="121">
      <t>イレカ</t>
    </rPh>
    <rPh sb="123" eb="124">
      <t>サイ</t>
    </rPh>
    <rPh sb="126" eb="127">
      <t>ヤス</t>
    </rPh>
    <rPh sb="134" eb="135">
      <t>シュウ</t>
    </rPh>
    <rPh sb="135" eb="137">
      <t>レンゾク</t>
    </rPh>
    <rPh sb="144" eb="146">
      <t>チュウイ</t>
    </rPh>
    <phoneticPr fontId="21"/>
  </si>
  <si>
    <t>⑧実際にリーグ戦が始まったら、試合当日&lt;記録用紙&gt;の(セルA2)に当該節を数値入力し、プリントアウトてください。&lt;記録用紙&gt;の(セルA2)は&lt;対戦表&gt;に連動しています。プリントアウトしても当該節数を消さないで下さい。</t>
    <rPh sb="1" eb="3">
      <t>ジッサイ</t>
    </rPh>
    <rPh sb="7" eb="8">
      <t>セン</t>
    </rPh>
    <rPh sb="9" eb="10">
      <t>ハジ</t>
    </rPh>
    <rPh sb="15" eb="17">
      <t>シアイ</t>
    </rPh>
    <rPh sb="17" eb="19">
      <t>トウジツ</t>
    </rPh>
    <rPh sb="20" eb="22">
      <t>キロク</t>
    </rPh>
    <rPh sb="22" eb="24">
      <t>ヨウシ</t>
    </rPh>
    <rPh sb="33" eb="35">
      <t>トウガイ</t>
    </rPh>
    <rPh sb="35" eb="36">
      <t>セツ</t>
    </rPh>
    <rPh sb="37" eb="39">
      <t>スウチ</t>
    </rPh>
    <rPh sb="39" eb="41">
      <t>ニュウリョク</t>
    </rPh>
    <rPh sb="57" eb="59">
      <t>キロク</t>
    </rPh>
    <rPh sb="59" eb="61">
      <t>ヨウシ</t>
    </rPh>
    <rPh sb="71" eb="73">
      <t>タイセン</t>
    </rPh>
    <rPh sb="73" eb="74">
      <t>ヒョウ</t>
    </rPh>
    <rPh sb="76" eb="78">
      <t>レンドウ</t>
    </rPh>
    <rPh sb="94" eb="96">
      <t>トウガイ</t>
    </rPh>
    <rPh sb="96" eb="97">
      <t>セツ</t>
    </rPh>
    <rPh sb="97" eb="98">
      <t>スウ</t>
    </rPh>
    <rPh sb="99" eb="100">
      <t>ケ</t>
    </rPh>
    <rPh sb="104" eb="105">
      <t>クダ</t>
    </rPh>
    <phoneticPr fontId="21"/>
  </si>
  <si>
    <t>⑪ファイルを終了する際は、必ず【上書き保存】してください。これを実行しないと、記録が保存されません。</t>
    <rPh sb="6" eb="8">
      <t>シュウリョウ</t>
    </rPh>
    <rPh sb="10" eb="11">
      <t>サイ</t>
    </rPh>
    <rPh sb="13" eb="14">
      <t>カナラ</t>
    </rPh>
    <rPh sb="16" eb="18">
      <t>ウワガ</t>
    </rPh>
    <rPh sb="19" eb="21">
      <t>ホゾン</t>
    </rPh>
    <rPh sb="32" eb="34">
      <t>ジッコウ</t>
    </rPh>
    <rPh sb="39" eb="41">
      <t>キロク</t>
    </rPh>
    <rPh sb="42" eb="44">
      <t>ホゾン</t>
    </rPh>
    <phoneticPr fontId="21"/>
  </si>
  <si>
    <t>以上、不明な点等ありましたら、西貝までお問合せ下さい。</t>
    <rPh sb="0" eb="2">
      <t>イジョウ</t>
    </rPh>
    <rPh sb="3" eb="5">
      <t>フメイ</t>
    </rPh>
    <rPh sb="6" eb="7">
      <t>テン</t>
    </rPh>
    <rPh sb="7" eb="8">
      <t>トウ</t>
    </rPh>
    <rPh sb="15" eb="17">
      <t>ニシガイ</t>
    </rPh>
    <rPh sb="20" eb="22">
      <t>トイアワ</t>
    </rPh>
    <rPh sb="23" eb="24">
      <t>クダ</t>
    </rPh>
    <phoneticPr fontId="21"/>
  </si>
  <si>
    <t>kickoff</t>
  </si>
  <si>
    <t>第1試合</t>
    <rPh sb="0" eb="1">
      <t>ダイ</t>
    </rPh>
    <rPh sb="2" eb="4">
      <t>シアイ</t>
    </rPh>
    <phoneticPr fontId="21"/>
  </si>
  <si>
    <t>第2試合</t>
    <rPh sb="0" eb="1">
      <t>ダイ</t>
    </rPh>
    <rPh sb="2" eb="4">
      <t>シアイ</t>
    </rPh>
    <phoneticPr fontId="21"/>
  </si>
  <si>
    <t>開始時間</t>
    <rPh sb="0" eb="2">
      <t>カイシ</t>
    </rPh>
    <rPh sb="2" eb="4">
      <t>ジカン</t>
    </rPh>
    <phoneticPr fontId="21"/>
  </si>
  <si>
    <t>5/休み</t>
    <rPh sb="2" eb="3">
      <t>ヤス</t>
    </rPh>
    <phoneticPr fontId="21"/>
  </si>
  <si>
    <t>試合なし</t>
    <rPh sb="0" eb="2">
      <t>シアイ</t>
    </rPh>
    <phoneticPr fontId="21"/>
  </si>
  <si>
    <t>④対戦時間を変更したい場合は、当該節の対戦を2チームセットで【切り取り】→【切り取ったセルの挿入】で移動してください。その際、休みのチームが移動してしまわないように気をつけてください。表の1,2が第1試合、3,4が第2試合、5,6が休みになっています。ちなみに、表の下の数字がそれぞれの試合数になっています。</t>
    <rPh sb="1" eb="3">
      <t>タイセン</t>
    </rPh>
    <rPh sb="3" eb="5">
      <t>ジカン</t>
    </rPh>
    <rPh sb="6" eb="8">
      <t>ヘンコウ</t>
    </rPh>
    <rPh sb="11" eb="13">
      <t>バアイ</t>
    </rPh>
    <rPh sb="15" eb="17">
      <t>トウガイ</t>
    </rPh>
    <rPh sb="17" eb="18">
      <t>セツ</t>
    </rPh>
    <rPh sb="19" eb="21">
      <t>タイセン</t>
    </rPh>
    <rPh sb="31" eb="32">
      <t>キ</t>
    </rPh>
    <rPh sb="33" eb="34">
      <t>ト</t>
    </rPh>
    <rPh sb="38" eb="39">
      <t>キ</t>
    </rPh>
    <rPh sb="40" eb="41">
      <t>ト</t>
    </rPh>
    <rPh sb="46" eb="48">
      <t>ソウニュウ</t>
    </rPh>
    <rPh sb="50" eb="52">
      <t>イドウ</t>
    </rPh>
    <rPh sb="61" eb="62">
      <t>サイ</t>
    </rPh>
    <rPh sb="63" eb="64">
      <t>ヤス</t>
    </rPh>
    <rPh sb="70" eb="72">
      <t>イドウ</t>
    </rPh>
    <rPh sb="82" eb="83">
      <t>キ</t>
    </rPh>
    <rPh sb="92" eb="93">
      <t>ヒョウ</t>
    </rPh>
    <rPh sb="98" eb="99">
      <t>ダイ</t>
    </rPh>
    <rPh sb="100" eb="102">
      <t>シアイ</t>
    </rPh>
    <rPh sb="116" eb="117">
      <t>ヤス</t>
    </rPh>
    <phoneticPr fontId="21"/>
  </si>
  <si>
    <t>5チーム</t>
    <phoneticPr fontId="21"/>
  </si>
  <si>
    <r>
      <t>このリーグ戦マスターファイルは</t>
    </r>
    <r>
      <rPr>
        <sz val="14"/>
        <color rgb="FFFF0000"/>
        <rFont val="HGP創英角ｺﾞｼｯｸUB"/>
        <family val="3"/>
        <charset val="128"/>
      </rPr>
      <t>5</t>
    </r>
    <r>
      <rPr>
        <sz val="14"/>
        <color indexed="10"/>
        <rFont val="HGP創英角ｺﾞｼｯｸUB"/>
        <family val="3"/>
        <charset val="128"/>
      </rPr>
      <t>チーム2回戦総当たり専用</t>
    </r>
    <r>
      <rPr>
        <sz val="14"/>
        <rFont val="HGP創英角ｺﾞｼｯｸUB"/>
        <family val="3"/>
        <charset val="128"/>
      </rPr>
      <t>です。5チーム2回戦総当たり開催以外の場合は、それぞれのチーム数専用のファイルを使用してください。</t>
    </r>
    <rPh sb="5" eb="6">
      <t>セン</t>
    </rPh>
    <rPh sb="20" eb="22">
      <t>カイセン</t>
    </rPh>
    <rPh sb="22" eb="24">
      <t>ソウア</t>
    </rPh>
    <rPh sb="26" eb="28">
      <t>センヨウ</t>
    </rPh>
    <rPh sb="36" eb="38">
      <t>カイセン</t>
    </rPh>
    <rPh sb="38" eb="40">
      <t>ソウア</t>
    </rPh>
    <phoneticPr fontId="21"/>
  </si>
  <si>
    <t>日程表（第1節～第10節）</t>
    <phoneticPr fontId="19"/>
  </si>
  <si>
    <t>■原則的に試合の延期はいたしません。</t>
  </si>
  <si>
    <t>■キャンセルチームには1試合につきキャンセル料￥14,520をお支払いただきます。</t>
    <phoneticPr fontId="21"/>
  </si>
  <si>
    <t>■使用するコートは変更になる場合があります。</t>
  </si>
  <si>
    <t>■必ず「すねあて」を着用してください。</t>
    <phoneticPr fontId="21"/>
  </si>
  <si>
    <t>■眼鏡を着用してのプレーは禁止します。</t>
  </si>
  <si>
    <t>■アクセサリー類につきましては取り外していただくか、危険のないようテープ等で保護していただきます。</t>
  </si>
  <si>
    <t>4th. Stage</t>
    <phoneticPr fontId="21"/>
  </si>
  <si>
    <t>(60th.)</t>
    <phoneticPr fontId="21"/>
  </si>
  <si>
    <t>戦　績　表</t>
    <rPh sb="0" eb="1">
      <t>セン</t>
    </rPh>
    <rPh sb="2" eb="3">
      <t>イサオ</t>
    </rPh>
    <rPh sb="4" eb="5">
      <t>ヒョウ</t>
    </rPh>
    <phoneticPr fontId="19"/>
  </si>
  <si>
    <t>⑨試合が終わったら、&lt;5チーム2回戦総当たり結果記入用&gt;の列F・列Hに各試合の結果を間違えないように入力してください。ファール･警告･退場等がある場合は、&lt;対戦表(HP)&gt;の該当個所に数を入力してください。</t>
    <rPh sb="1" eb="3">
      <t>シアイ</t>
    </rPh>
    <rPh sb="4" eb="5">
      <t>オ</t>
    </rPh>
    <rPh sb="16" eb="18">
      <t>カイセン</t>
    </rPh>
    <rPh sb="18" eb="20">
      <t>ソウア</t>
    </rPh>
    <rPh sb="22" eb="24">
      <t>ケッカ</t>
    </rPh>
    <rPh sb="24" eb="27">
      <t>キニュウヨウ</t>
    </rPh>
    <rPh sb="29" eb="30">
      <t>レツ</t>
    </rPh>
    <rPh sb="32" eb="33">
      <t>レツ</t>
    </rPh>
    <rPh sb="35" eb="38">
      <t>カクシアイ</t>
    </rPh>
    <rPh sb="39" eb="41">
      <t>ケッカ</t>
    </rPh>
    <rPh sb="42" eb="44">
      <t>マチガ</t>
    </rPh>
    <rPh sb="50" eb="52">
      <t>ニュウリョク</t>
    </rPh>
    <rPh sb="64" eb="66">
      <t>ケイコク</t>
    </rPh>
    <rPh sb="67" eb="70">
      <t>タイジョウトウ</t>
    </rPh>
    <rPh sb="73" eb="75">
      <t>バアイ</t>
    </rPh>
    <rPh sb="78" eb="80">
      <t>タイセン</t>
    </rPh>
    <rPh sb="80" eb="81">
      <t>ヒョウ</t>
    </rPh>
    <rPh sb="87" eb="89">
      <t>ガイトウ</t>
    </rPh>
    <rPh sb="89" eb="91">
      <t>カショ</t>
    </rPh>
    <rPh sb="92" eb="93">
      <t>カズ</t>
    </rPh>
    <rPh sb="94" eb="96">
      <t>ニュウリョク</t>
    </rPh>
    <phoneticPr fontId="21"/>
  </si>
  <si>
    <t>⑩全ての記録を入力し終わったら、&lt;対戦表(HP用)&gt;をpdfに保存し、ホームページの結果を更新してください。順位、フェアプレイランキングとも第1節以降から表記されます。掲示用にモノクロを使用したい場合は、&lt;対戦表&gt;をプリントアウト。</t>
    <rPh sb="1" eb="2">
      <t>スベ</t>
    </rPh>
    <rPh sb="4" eb="6">
      <t>キロク</t>
    </rPh>
    <rPh sb="7" eb="9">
      <t>ニュウリョク</t>
    </rPh>
    <rPh sb="10" eb="11">
      <t>オ</t>
    </rPh>
    <rPh sb="17" eb="19">
      <t>タイセン</t>
    </rPh>
    <rPh sb="19" eb="20">
      <t>ヒョウ</t>
    </rPh>
    <rPh sb="23" eb="24">
      <t>ヨウ</t>
    </rPh>
    <rPh sb="31" eb="33">
      <t>ホゾン</t>
    </rPh>
    <rPh sb="42" eb="44">
      <t>ケッカ</t>
    </rPh>
    <rPh sb="45" eb="47">
      <t>コウシン</t>
    </rPh>
    <rPh sb="54" eb="56">
      <t>ジュンイ</t>
    </rPh>
    <rPh sb="70" eb="71">
      <t>ダイ</t>
    </rPh>
    <rPh sb="72" eb="75">
      <t>セツイコウ</t>
    </rPh>
    <rPh sb="77" eb="79">
      <t>ヒョウキ</t>
    </rPh>
    <rPh sb="84" eb="87">
      <t>ケイジヨウ</t>
    </rPh>
    <rPh sb="93" eb="95">
      <t>シヨウ</t>
    </rPh>
    <rPh sb="98" eb="100">
      <t>バアイ</t>
    </rPh>
    <rPh sb="103" eb="105">
      <t>タイセン</t>
    </rPh>
    <rPh sb="105" eb="106">
      <t>ヒョウ</t>
    </rPh>
    <phoneticPr fontId="21"/>
  </si>
  <si>
    <t>⑦10節で収まるスケジュールには対応可能ですが、11節以上にしなければいけない場合は、&lt;日程表(HP用)&gt;&lt;日程表(配布用)&gt;と&lt;参加受領確認書&gt;の修正が必要となります。西貝までご連絡下さい。</t>
    <rPh sb="3" eb="4">
      <t>セツ</t>
    </rPh>
    <rPh sb="5" eb="6">
      <t>オサ</t>
    </rPh>
    <rPh sb="16" eb="18">
      <t>タイオウ</t>
    </rPh>
    <rPh sb="18" eb="20">
      <t>カノウ</t>
    </rPh>
    <rPh sb="26" eb="29">
      <t>セツイジョウ</t>
    </rPh>
    <rPh sb="39" eb="41">
      <t>バアイ</t>
    </rPh>
    <rPh sb="44" eb="47">
      <t>ニッテイヒョウ</t>
    </rPh>
    <rPh sb="50" eb="51">
      <t>ヨウ</t>
    </rPh>
    <rPh sb="58" eb="60">
      <t>ハイフ</t>
    </rPh>
    <rPh sb="77" eb="79">
      <t>サンカ</t>
    </rPh>
    <rPh sb="79" eb="81">
      <t>ジュリョウ</t>
    </rPh>
    <rPh sb="81" eb="84">
      <t>カクニンショ</t>
    </rPh>
    <rPh sb="86" eb="88">
      <t>シュウセイ</t>
    </rPh>
    <rPh sb="89" eb="91">
      <t>ヒツヨウニシガイレンラククダ</t>
    </rPh>
    <phoneticPr fontId="21"/>
  </si>
  <si>
    <t>■その他、SDF施設利用規約を遵守し、フェアプレーをお願いいたします。</t>
    <rPh sb="12" eb="14">
      <t>キヤク</t>
    </rPh>
    <phoneticPr fontId="21"/>
  </si>
  <si>
    <t>①シート名&lt;6チームスケジュール作業表&gt;(以下&lt;作業表&gt;）1行目の黄色いセルに、開催リーグ名を、【曜日】【開催年】【ステージ名】【通し回数】【曜日英語表記】【施設】【ピッチ名】の順に記載してください。</t>
    <rPh sb="4" eb="5">
      <t>メイ</t>
    </rPh>
    <rPh sb="16" eb="18">
      <t>サギョウ</t>
    </rPh>
    <rPh sb="18" eb="19">
      <t>ヒョウ</t>
    </rPh>
    <rPh sb="21" eb="23">
      <t>イカ</t>
    </rPh>
    <rPh sb="24" eb="26">
      <t>サギョウ</t>
    </rPh>
    <rPh sb="26" eb="27">
      <t>ヒョウ</t>
    </rPh>
    <rPh sb="30" eb="32">
      <t>ギョウメ</t>
    </rPh>
    <rPh sb="33" eb="35">
      <t>キイロ</t>
    </rPh>
    <rPh sb="40" eb="42">
      <t>カイサイ</t>
    </rPh>
    <rPh sb="79" eb="81">
      <t>シセツ</t>
    </rPh>
    <rPh sb="86" eb="87">
      <t>メイ</t>
    </rPh>
    <phoneticPr fontId="21"/>
  </si>
  <si>
    <t>②(セルB6)に第1節目の開催日を【yyyy/mm/dd】形式で入力してください。第2節目以降の開催日は計算式にて入力されます。祝日にリーグ戦を開催しない場合は、当該日の計算式を(前のセル+14）に変更してください。なお、祝日開催あるなしにかかわらず、&lt;日程表(配布用)&gt;のコメント欄は修正をしてください。また、開始時間が異なる場合は、時間変更をしてください(半角数字入力)。</t>
    <rPh sb="8" eb="9">
      <t>ダイ</t>
    </rPh>
    <rPh sb="10" eb="11">
      <t>セツ</t>
    </rPh>
    <rPh sb="11" eb="12">
      <t>メ</t>
    </rPh>
    <rPh sb="13" eb="16">
      <t>カイサイビ</t>
    </rPh>
    <rPh sb="29" eb="31">
      <t>ケイシキ</t>
    </rPh>
    <rPh sb="32" eb="34">
      <t>ニュウリョク</t>
    </rPh>
    <rPh sb="111" eb="113">
      <t>シュクジツ</t>
    </rPh>
    <rPh sb="113" eb="115">
      <t>カイサイ</t>
    </rPh>
    <rPh sb="127" eb="130">
      <t>ニッテイヒョウ</t>
    </rPh>
    <rPh sb="131" eb="133">
      <t>ハイフ</t>
    </rPh>
    <rPh sb="141" eb="142">
      <t>ラン</t>
    </rPh>
    <rPh sb="143" eb="145">
      <t>シュウセイ</t>
    </rPh>
    <rPh sb="156" eb="158">
      <t>カイシ</t>
    </rPh>
    <rPh sb="158" eb="160">
      <t>ジカン</t>
    </rPh>
    <rPh sb="161" eb="162">
      <t>コト</t>
    </rPh>
    <rPh sb="164" eb="166">
      <t>バアイ</t>
    </rPh>
    <rPh sb="168" eb="170">
      <t>ジカン</t>
    </rPh>
    <rPh sb="170" eb="172">
      <t>ヘンコウ</t>
    </rPh>
    <rPh sb="180" eb="182">
      <t>ハンカク</t>
    </rPh>
    <rPh sb="182" eb="184">
      <t>スウジ</t>
    </rPh>
    <rPh sb="184" eb="186">
      <t>ニュウリョク</t>
    </rPh>
    <phoneticPr fontId="21"/>
  </si>
  <si>
    <t>西</t>
    <rPh sb="0" eb="1">
      <t>ニシ</t>
    </rPh>
    <phoneticPr fontId="21"/>
  </si>
  <si>
    <t>東</t>
    <rPh sb="0" eb="1">
      <t>ヒガシ</t>
    </rPh>
    <phoneticPr fontId="21"/>
  </si>
  <si>
    <t>上段</t>
    <rPh sb="0" eb="2">
      <t>ジョウダン</t>
    </rPh>
    <phoneticPr fontId="21"/>
  </si>
  <si>
    <t>下段</t>
    <rPh sb="0" eb="2">
      <t>ゲダン</t>
    </rPh>
    <phoneticPr fontId="21"/>
  </si>
  <si>
    <t>木曜</t>
    <rPh sb="0" eb="2">
      <t>モクヨウ</t>
    </rPh>
    <phoneticPr fontId="21"/>
  </si>
  <si>
    <t>Thursday League</t>
    <phoneticPr fontId="21"/>
  </si>
  <si>
    <t>静岡</t>
    <rPh sb="0" eb="2">
      <t>シズオカ</t>
    </rPh>
    <phoneticPr fontId="21"/>
  </si>
  <si>
    <t>21:10</t>
    <phoneticPr fontId="21"/>
  </si>
  <si>
    <t>Etelia</t>
    <phoneticPr fontId="21"/>
  </si>
  <si>
    <t>うなぎ</t>
    <phoneticPr fontId="21"/>
  </si>
  <si>
    <t>PURE</t>
    <phoneticPr fontId="21"/>
  </si>
  <si>
    <t>飛杉田新地</t>
    <rPh sb="0" eb="1">
      <t>ト</t>
    </rPh>
    <rPh sb="1" eb="5">
      <t>スギタシンチ</t>
    </rPh>
    <phoneticPr fontId="21"/>
  </si>
  <si>
    <t>T-25</t>
    <phoneticPr fontId="21"/>
  </si>
  <si>
    <t>22:00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</si>
</sst>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/d;@"/>
    <numFmt numFmtId="177" formatCode="h:mm;@"/>
    <numFmt numFmtId="178" formatCode="m&quot;月&quot;d&quot;日&quot;;@"/>
    <numFmt numFmtId="179" formatCode="0_ "/>
    <numFmt numFmtId="180" formatCode="_ 0_ ;\ ;\ \ ;_ @_ "/>
    <numFmt numFmtId="181" formatCode="&quot;第&quot;#&quot;節&quot;"/>
    <numFmt numFmtId="182" formatCode="yyyy&quot;年&quot;m&quot;月&quot;d&quot;日&quot;;@"/>
    <numFmt numFmtId="183" formatCode="&quot;第&quot;#&quot;節終了時&quot;"/>
    <numFmt numFmtId="184" formatCode="_ 0_ ;;;_ @_ "/>
    <numFmt numFmtId="185" formatCode="yyyy/m/d&quot;確定&quot;"/>
  </numFmts>
  <fonts count="60" x14ac:knownFonts="1">
    <font>
      <sz val="1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6"/>
      <name val="MS UI Gothic"/>
      <family val="3"/>
      <charset val="128"/>
    </font>
    <font>
      <sz val="12"/>
      <name val="MS UI Gothic"/>
      <family val="3"/>
      <charset val="128"/>
    </font>
    <font>
      <sz val="14"/>
      <color indexed="1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name val="Yu Gothic UI Semibold"/>
      <family val="3"/>
      <charset val="128"/>
    </font>
    <font>
      <sz val="16"/>
      <name val="Yu Gothic UI Semibold"/>
      <family val="3"/>
      <charset val="128"/>
    </font>
    <font>
      <sz val="10"/>
      <name val="Yu Gothic UI Semibold"/>
      <family val="3"/>
      <charset val="128"/>
    </font>
    <font>
      <b/>
      <sz val="16"/>
      <name val="Yu Gothic UI Semibold"/>
      <family val="3"/>
      <charset val="128"/>
    </font>
    <font>
      <sz val="9"/>
      <name val="Yu Gothic UI Semibold"/>
      <family val="3"/>
      <charset val="128"/>
    </font>
    <font>
      <sz val="12"/>
      <name val="Yu Gothic UI Semibold"/>
      <family val="3"/>
      <charset val="128"/>
    </font>
    <font>
      <sz val="11"/>
      <name val="Yu Gothic UI Semibold"/>
      <family val="3"/>
      <charset val="128"/>
    </font>
    <font>
      <sz val="8"/>
      <name val="Yu Gothic UI Semibold"/>
      <family val="3"/>
      <charset val="128"/>
    </font>
    <font>
      <sz val="18"/>
      <name val="Yu Gothic UI Semibold"/>
      <family val="3"/>
      <charset val="128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b/>
      <sz val="12"/>
      <name val="Yu Gothic UI Semibold"/>
      <family val="3"/>
      <charset val="128"/>
    </font>
    <font>
      <b/>
      <sz val="18"/>
      <name val="Yu Gothic UI Semibold"/>
      <family val="3"/>
      <charset val="128"/>
    </font>
    <font>
      <sz val="22"/>
      <name val="Yu Gothic UI Semibold"/>
      <family val="3"/>
      <charset val="128"/>
    </font>
    <font>
      <b/>
      <sz val="20"/>
      <name val="Yu Gothic UI Semibold"/>
      <family val="3"/>
      <charset val="128"/>
    </font>
    <font>
      <sz val="24"/>
      <name val="Yu Gothic UI Semibold"/>
      <family val="3"/>
      <charset val="128"/>
    </font>
    <font>
      <sz val="9"/>
      <name val="Yu Gothic UI"/>
      <family val="3"/>
      <charset val="128"/>
    </font>
    <font>
      <sz val="10"/>
      <name val="Yu Gothic UI"/>
      <family val="3"/>
      <charset val="128"/>
    </font>
    <font>
      <sz val="9"/>
      <color indexed="10"/>
      <name val="Yu Gothic UI Semibold"/>
      <family val="3"/>
      <charset val="128"/>
    </font>
    <font>
      <sz val="12"/>
      <color indexed="10"/>
      <name val="Yu Gothic UI Semibold"/>
      <family val="3"/>
      <charset val="128"/>
    </font>
    <font>
      <b/>
      <sz val="16"/>
      <color rgb="FF004067"/>
      <name val="Yu Gothic UI Semibold"/>
      <family val="3"/>
      <charset val="128"/>
    </font>
    <font>
      <sz val="14"/>
      <color rgb="FFFF8709"/>
      <name val="Yu Gothic UI Semibold"/>
      <family val="3"/>
      <charset val="128"/>
    </font>
    <font>
      <sz val="16"/>
      <color rgb="FFFF8709"/>
      <name val="Yu Gothic UI Semibold"/>
      <family val="3"/>
      <charset val="128"/>
    </font>
    <font>
      <sz val="10"/>
      <color rgb="FFFF8709"/>
      <name val="MS UI Gothic"/>
      <family val="3"/>
      <charset val="128"/>
    </font>
    <font>
      <sz val="10"/>
      <color rgb="FFFF8709"/>
      <name val="Yu Gothic UI Semibold"/>
      <family val="3"/>
      <charset val="128"/>
    </font>
    <font>
      <b/>
      <sz val="9"/>
      <name val="Yu Gothic UI"/>
      <family val="3"/>
      <charset val="128"/>
    </font>
    <font>
      <sz val="24"/>
      <color rgb="FF004067"/>
      <name val="Yu Gothic UI Semibold"/>
      <family val="3"/>
      <charset val="128"/>
    </font>
    <font>
      <sz val="24"/>
      <color rgb="FFFF8709"/>
      <name val="Yu Gothic UI Semibold"/>
      <family val="3"/>
      <charset val="128"/>
    </font>
    <font>
      <b/>
      <sz val="24"/>
      <color rgb="FFFF8709"/>
      <name val="Yu Gothic UI Semibold"/>
      <family val="3"/>
      <charset val="128"/>
    </font>
    <font>
      <b/>
      <sz val="24"/>
      <name val="Yu Gothic UI Semibold"/>
      <family val="3"/>
      <charset val="128"/>
    </font>
    <font>
      <sz val="9"/>
      <name val="MS UI Gothic"/>
      <family val="3"/>
      <charset val="128"/>
    </font>
    <font>
      <b/>
      <sz val="20"/>
      <color rgb="FFFF8709"/>
      <name val="Yu Gothic UI Semibold"/>
      <family val="3"/>
      <charset val="128"/>
    </font>
    <font>
      <sz val="12"/>
      <color rgb="FFFF0000"/>
      <name val="Yu Gothic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lightGray"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FF8709"/>
        <bgColor indexed="64"/>
      </patternFill>
    </fill>
    <fill>
      <patternFill patternType="solid">
        <fgColor rgb="FF004067"/>
        <bgColor indexed="64"/>
      </patternFill>
    </fill>
    <fill>
      <patternFill patternType="solid">
        <fgColor rgb="FFFFF799"/>
        <bgColor indexed="64"/>
      </patternFill>
    </fill>
    <fill>
      <patternFill patternType="lightUp">
        <bgColor rgb="FFFFF799"/>
      </patternFill>
    </fill>
    <fill>
      <patternFill patternType="solid">
        <fgColor rgb="FFD5EAD8"/>
        <bgColor indexed="64"/>
      </patternFill>
    </fill>
  </fills>
  <borders count="1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33"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43" applyFont="1" applyAlignment="1" applyProtection="1">
      <alignment horizontal="center" vertical="center"/>
      <protection hidden="1"/>
    </xf>
    <xf numFmtId="0" fontId="31" fillId="0" borderId="0" xfId="43" applyFont="1" applyProtection="1">
      <alignment vertical="center"/>
      <protection hidden="1"/>
    </xf>
    <xf numFmtId="0" fontId="31" fillId="0" borderId="0" xfId="43" applyFont="1">
      <alignment vertical="center"/>
    </xf>
    <xf numFmtId="176" fontId="31" fillId="0" borderId="0" xfId="43" applyNumberFormat="1" applyFont="1">
      <alignment vertical="center"/>
    </xf>
    <xf numFmtId="0" fontId="31" fillId="0" borderId="0" xfId="43" applyFont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34" fillId="0" borderId="0" xfId="43" applyFont="1">
      <alignment vertical="center"/>
    </xf>
    <xf numFmtId="0" fontId="34" fillId="0" borderId="0" xfId="43" applyFont="1" applyProtection="1">
      <alignment vertical="center"/>
      <protection hidden="1"/>
    </xf>
    <xf numFmtId="0" fontId="34" fillId="0" borderId="0" xfId="43" applyFont="1" applyAlignment="1">
      <alignment horizontal="center" vertical="center"/>
    </xf>
    <xf numFmtId="0" fontId="34" fillId="0" borderId="0" xfId="43" applyFont="1" applyProtection="1">
      <alignment vertical="center"/>
      <protection locked="0"/>
    </xf>
    <xf numFmtId="0" fontId="36" fillId="0" borderId="11" xfId="43" applyFont="1" applyBorder="1" applyAlignment="1" applyProtection="1">
      <alignment horizontal="center" vertical="center"/>
      <protection hidden="1"/>
    </xf>
    <xf numFmtId="180" fontId="36" fillId="0" borderId="84" xfId="43" applyNumberFormat="1" applyFont="1" applyBorder="1" applyAlignment="1" applyProtection="1">
      <alignment horizontal="center" vertical="center" shrinkToFit="1"/>
      <protection hidden="1"/>
    </xf>
    <xf numFmtId="180" fontId="36" fillId="0" borderId="85" xfId="43" applyNumberFormat="1" applyFont="1" applyBorder="1" applyAlignment="1" applyProtection="1">
      <alignment horizontal="center" vertical="center"/>
      <protection hidden="1"/>
    </xf>
    <xf numFmtId="180" fontId="36" fillId="0" borderId="86" xfId="43" applyNumberFormat="1" applyFont="1" applyBorder="1" applyAlignment="1" applyProtection="1">
      <alignment horizontal="center" vertical="center" shrinkToFit="1"/>
      <protection hidden="1"/>
    </xf>
    <xf numFmtId="180" fontId="36" fillId="0" borderId="45" xfId="43" applyNumberFormat="1" applyFont="1" applyBorder="1" applyAlignment="1" applyProtection="1">
      <alignment horizontal="center" vertical="center" shrinkToFit="1"/>
      <protection hidden="1"/>
    </xf>
    <xf numFmtId="0" fontId="36" fillId="0" borderId="25" xfId="43" applyFont="1" applyBorder="1" applyAlignment="1" applyProtection="1">
      <alignment horizontal="center" vertical="center"/>
      <protection hidden="1"/>
    </xf>
    <xf numFmtId="180" fontId="36" fillId="27" borderId="79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26" xfId="43" applyNumberFormat="1" applyFont="1" applyFill="1" applyBorder="1" applyAlignment="1" applyProtection="1">
      <alignment horizontal="center" vertical="center"/>
      <protection hidden="1"/>
    </xf>
    <xf numFmtId="180" fontId="36" fillId="27" borderId="87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26" xfId="43" applyNumberFormat="1" applyFont="1" applyFill="1" applyBorder="1" applyAlignment="1" applyProtection="1">
      <alignment horizontal="center" vertical="center" shrinkToFit="1"/>
      <protection hidden="1"/>
    </xf>
    <xf numFmtId="0" fontId="36" fillId="0" borderId="66" xfId="43" applyFont="1" applyBorder="1" applyAlignment="1" applyProtection="1">
      <alignment horizontal="center" vertical="center"/>
      <protection hidden="1"/>
    </xf>
    <xf numFmtId="180" fontId="36" fillId="0" borderId="124" xfId="43" applyNumberFormat="1" applyFont="1" applyBorder="1" applyAlignment="1" applyProtection="1">
      <alignment horizontal="center" vertical="center" shrinkToFit="1"/>
      <protection hidden="1"/>
    </xf>
    <xf numFmtId="180" fontId="36" fillId="0" borderId="64" xfId="43" applyNumberFormat="1" applyFont="1" applyBorder="1" applyAlignment="1" applyProtection="1">
      <alignment horizontal="center" vertical="center"/>
      <protection hidden="1"/>
    </xf>
    <xf numFmtId="180" fontId="36" fillId="0" borderId="123" xfId="43" applyNumberFormat="1" applyFont="1" applyBorder="1" applyAlignment="1" applyProtection="1">
      <alignment horizontal="center" vertical="center" shrinkToFit="1"/>
      <protection hidden="1"/>
    </xf>
    <xf numFmtId="180" fontId="36" fillId="0" borderId="64" xfId="43" applyNumberFormat="1" applyFont="1" applyBorder="1" applyAlignment="1" applyProtection="1">
      <alignment horizontal="center" vertical="center" shrinkToFit="1"/>
      <protection hidden="1"/>
    </xf>
    <xf numFmtId="180" fontId="36" fillId="27" borderId="124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64" xfId="43" applyNumberFormat="1" applyFont="1" applyFill="1" applyBorder="1" applyAlignment="1" applyProtection="1">
      <alignment horizontal="center" vertical="center"/>
      <protection hidden="1"/>
    </xf>
    <xf numFmtId="180" fontId="36" fillId="27" borderId="123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64" xfId="43" applyNumberFormat="1" applyFont="1" applyFill="1" applyBorder="1" applyAlignment="1" applyProtection="1">
      <alignment horizontal="center" vertical="center" shrinkToFit="1"/>
      <protection hidden="1"/>
    </xf>
    <xf numFmtId="0" fontId="37" fillId="0" borderId="132" xfId="43" applyFont="1" applyBorder="1" applyAlignment="1" applyProtection="1">
      <alignment horizontal="center" vertical="center" shrinkToFit="1"/>
      <protection hidden="1"/>
    </xf>
    <xf numFmtId="0" fontId="33" fillId="0" borderId="0" xfId="41" applyFont="1" applyAlignment="1">
      <alignment horizontal="center" vertical="center" shrinkToFit="1"/>
    </xf>
    <xf numFmtId="0" fontId="35" fillId="0" borderId="26" xfId="41" applyFont="1" applyBorder="1" applyAlignment="1" applyProtection="1">
      <alignment vertical="top"/>
      <protection hidden="1"/>
    </xf>
    <xf numFmtId="0" fontId="28" fillId="0" borderId="0" xfId="41" applyFont="1" applyAlignment="1" applyProtection="1">
      <alignment vertical="top"/>
      <protection hidden="1"/>
    </xf>
    <xf numFmtId="0" fontId="28" fillId="0" borderId="26" xfId="41" applyFont="1" applyBorder="1" applyAlignment="1" applyProtection="1">
      <alignment vertical="top"/>
      <protection hidden="1"/>
    </xf>
    <xf numFmtId="0" fontId="28" fillId="0" borderId="0" xfId="41" applyFont="1" applyAlignment="1" applyProtection="1">
      <alignment horizontal="center" vertical="top"/>
      <protection hidden="1"/>
    </xf>
    <xf numFmtId="0" fontId="29" fillId="0" borderId="67" xfId="41" applyFont="1" applyBorder="1" applyAlignment="1" applyProtection="1">
      <alignment horizontal="center" vertical="center" wrapText="1"/>
      <protection hidden="1"/>
    </xf>
    <xf numFmtId="181" fontId="33" fillId="0" borderId="68" xfId="41" applyNumberFormat="1" applyFont="1" applyBorder="1" applyAlignment="1" applyProtection="1">
      <alignment horizontal="center" vertical="center" shrinkToFit="1"/>
      <protection hidden="1"/>
    </xf>
    <xf numFmtId="178" fontId="33" fillId="0" borderId="68" xfId="41" applyNumberFormat="1" applyFont="1" applyBorder="1" applyAlignment="1" applyProtection="1">
      <alignment horizontal="center" vertical="center"/>
      <protection hidden="1"/>
    </xf>
    <xf numFmtId="0" fontId="33" fillId="0" borderId="68" xfId="41" applyFont="1" applyBorder="1" applyAlignment="1" applyProtection="1">
      <alignment horizontal="center" vertical="center" shrinkToFit="1"/>
      <protection hidden="1"/>
    </xf>
    <xf numFmtId="178" fontId="33" fillId="0" borderId="10" xfId="41" applyNumberFormat="1" applyFont="1" applyBorder="1" applyAlignment="1" applyProtection="1">
      <alignment horizontal="center" vertical="center"/>
      <protection hidden="1"/>
    </xf>
    <xf numFmtId="56" fontId="38" fillId="0" borderId="0" xfId="42" applyNumberFormat="1" applyFont="1" applyAlignment="1">
      <alignment vertical="center" shrinkToFit="1"/>
    </xf>
    <xf numFmtId="0" fontId="32" fillId="0" borderId="0" xfId="42" applyFont="1" applyAlignment="1">
      <alignment horizontal="center" vertical="center" shrinkToFit="1"/>
    </xf>
    <xf numFmtId="0" fontId="29" fillId="0" borderId="0" xfId="42" applyFont="1" applyAlignment="1">
      <alignment horizontal="center" vertical="center" shrinkToFit="1"/>
    </xf>
    <xf numFmtId="0" fontId="29" fillId="0" borderId="0" xfId="42" applyFont="1" applyAlignment="1">
      <alignment horizontal="center" vertical="center"/>
    </xf>
    <xf numFmtId="0" fontId="33" fillId="0" borderId="0" xfId="42" applyFont="1">
      <alignment vertical="center"/>
    </xf>
    <xf numFmtId="0" fontId="27" fillId="0" borderId="26" xfId="42" applyFont="1" applyBorder="1" applyAlignment="1" applyProtection="1">
      <alignment vertical="center" shrinkToFit="1"/>
      <protection hidden="1"/>
    </xf>
    <xf numFmtId="0" fontId="33" fillId="0" borderId="0" xfId="42" applyFont="1" applyAlignment="1" applyProtection="1">
      <alignment horizontal="center" vertical="center" shrinkToFit="1"/>
      <protection hidden="1"/>
    </xf>
    <xf numFmtId="0" fontId="33" fillId="0" borderId="0" xfId="42" applyFont="1" applyAlignment="1">
      <alignment vertical="center" shrinkToFit="1"/>
    </xf>
    <xf numFmtId="0" fontId="29" fillId="0" borderId="24" xfId="0" applyFont="1" applyBorder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83" xfId="0" applyFont="1" applyBorder="1" applyProtection="1">
      <alignment vertical="center"/>
      <protection hidden="1"/>
    </xf>
    <xf numFmtId="0" fontId="29" fillId="0" borderId="25" xfId="0" applyFont="1" applyBorder="1" applyProtection="1">
      <alignment vertical="center"/>
      <protection hidden="1"/>
    </xf>
    <xf numFmtId="0" fontId="29" fillId="0" borderId="26" xfId="0" applyFont="1" applyBorder="1" applyProtection="1">
      <alignment vertical="center"/>
      <protection hidden="1"/>
    </xf>
    <xf numFmtId="0" fontId="29" fillId="0" borderId="27" xfId="0" applyFont="1" applyBorder="1" applyProtection="1">
      <alignment vertical="center"/>
      <protection hidden="1"/>
    </xf>
    <xf numFmtId="0" fontId="33" fillId="0" borderId="0" xfId="42" applyFont="1" applyAlignment="1">
      <alignment horizontal="center" vertical="center"/>
    </xf>
    <xf numFmtId="0" fontId="33" fillId="0" borderId="0" xfId="4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41" applyFont="1" applyProtection="1">
      <alignment vertical="center"/>
      <protection hidden="1"/>
    </xf>
    <xf numFmtId="0" fontId="30" fillId="0" borderId="0" xfId="41" applyFont="1" applyAlignment="1" applyProtection="1">
      <alignment vertical="top"/>
      <protection hidden="1"/>
    </xf>
    <xf numFmtId="0" fontId="39" fillId="0" borderId="0" xfId="41" applyFont="1" applyProtection="1">
      <alignment vertical="center"/>
      <protection hidden="1"/>
    </xf>
    <xf numFmtId="0" fontId="33" fillId="0" borderId="0" xfId="41" applyFont="1" applyAlignment="1" applyProtection="1">
      <alignment horizontal="center" vertical="center"/>
      <protection hidden="1"/>
    </xf>
    <xf numFmtId="0" fontId="34" fillId="0" borderId="0" xfId="41" applyFont="1" applyAlignment="1" applyProtection="1">
      <alignment horizontal="center" vertical="center"/>
      <protection hidden="1"/>
    </xf>
    <xf numFmtId="0" fontId="29" fillId="0" borderId="0" xfId="0" applyFont="1">
      <alignment vertical="center"/>
    </xf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horizontal="center" vertical="center"/>
    </xf>
    <xf numFmtId="0" fontId="29" fillId="24" borderId="23" xfId="0" applyFont="1" applyFill="1" applyBorder="1" applyAlignment="1">
      <alignment horizontal="center" vertical="center"/>
    </xf>
    <xf numFmtId="0" fontId="29" fillId="24" borderId="24" xfId="0" applyFont="1" applyFill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3" fillId="24" borderId="0" xfId="0" applyFont="1" applyFill="1" applyAlignment="1" applyProtection="1">
      <alignment horizontal="center" vertical="center"/>
      <protection hidden="1"/>
    </xf>
    <xf numFmtId="0" fontId="33" fillId="0" borderId="25" xfId="41" applyFont="1" applyBorder="1" applyAlignment="1" applyProtection="1">
      <alignment horizontal="center" vertical="center" shrinkToFit="1"/>
      <protection hidden="1"/>
    </xf>
    <xf numFmtId="0" fontId="33" fillId="0" borderId="26" xfId="41" applyFont="1" applyBorder="1" applyAlignment="1" applyProtection="1">
      <alignment horizontal="center" vertical="center" shrinkToFit="1"/>
      <protection hidden="1"/>
    </xf>
    <xf numFmtId="0" fontId="33" fillId="0" borderId="27" xfId="41" applyFont="1" applyBorder="1" applyAlignment="1" applyProtection="1">
      <alignment horizontal="center" vertical="center" shrinkToFit="1"/>
      <protection hidden="1"/>
    </xf>
    <xf numFmtId="0" fontId="29" fillId="0" borderId="28" xfId="0" applyFont="1" applyBorder="1" applyAlignment="1">
      <alignment horizontal="center" vertical="center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hidden="1"/>
    </xf>
    <xf numFmtId="0" fontId="29" fillId="0" borderId="24" xfId="0" applyFont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hidden="1"/>
    </xf>
    <xf numFmtId="0" fontId="29" fillId="0" borderId="25" xfId="0" applyFont="1" applyBorder="1" applyAlignment="1">
      <alignment horizontal="center" vertical="center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  <protection hidden="1"/>
    </xf>
    <xf numFmtId="0" fontId="29" fillId="24" borderId="28" xfId="0" applyFont="1" applyFill="1" applyBorder="1" applyAlignment="1">
      <alignment horizontal="center" vertical="center"/>
    </xf>
    <xf numFmtId="0" fontId="33" fillId="24" borderId="20" xfId="0" applyFont="1" applyFill="1" applyBorder="1" applyAlignment="1" applyProtection="1">
      <alignment horizontal="center" vertical="center"/>
      <protection hidden="1"/>
    </xf>
    <xf numFmtId="0" fontId="29" fillId="24" borderId="25" xfId="0" applyFont="1" applyFill="1" applyBorder="1" applyAlignment="1">
      <alignment horizontal="center" vertical="center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42" fillId="0" borderId="0" xfId="41" applyFont="1" applyAlignment="1" applyProtection="1">
      <alignment vertical="top"/>
      <protection hidden="1"/>
    </xf>
    <xf numFmtId="0" fontId="31" fillId="0" borderId="0" xfId="43" applyFont="1" applyAlignment="1" applyProtection="1">
      <alignment horizontal="center" vertical="center"/>
      <protection hidden="1"/>
    </xf>
    <xf numFmtId="0" fontId="43" fillId="0" borderId="0" xfId="43" applyFont="1" applyAlignment="1" applyProtection="1">
      <alignment horizontal="left" vertical="center" indent="5"/>
      <protection locked="0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0" fontId="44" fillId="25" borderId="0" xfId="0" applyFont="1" applyFill="1" applyProtection="1">
      <alignment vertical="center"/>
      <protection locked="0"/>
    </xf>
    <xf numFmtId="0" fontId="44" fillId="0" borderId="0" xfId="0" applyFont="1" applyAlignment="1">
      <alignment horizontal="distributed" vertical="center"/>
    </xf>
    <xf numFmtId="0" fontId="44" fillId="25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49" fontId="44" fillId="25" borderId="66" xfId="0" applyNumberFormat="1" applyFont="1" applyFill="1" applyBorder="1" applyProtection="1">
      <alignment vertical="center"/>
      <protection locked="0"/>
    </xf>
    <xf numFmtId="177" fontId="44" fillId="0" borderId="64" xfId="0" applyNumberFormat="1" applyFont="1" applyBorder="1">
      <alignment vertical="center"/>
    </xf>
    <xf numFmtId="177" fontId="44" fillId="0" borderId="65" xfId="0" applyNumberFormat="1" applyFont="1" applyBorder="1">
      <alignment vertical="center"/>
    </xf>
    <xf numFmtId="0" fontId="44" fillId="0" borderId="66" xfId="0" applyFont="1" applyBorder="1">
      <alignment vertical="center"/>
    </xf>
    <xf numFmtId="0" fontId="44" fillId="0" borderId="64" xfId="0" applyFont="1" applyBorder="1">
      <alignment vertical="center"/>
    </xf>
    <xf numFmtId="0" fontId="44" fillId="0" borderId="65" xfId="0" applyFont="1" applyBorder="1">
      <alignment vertical="center"/>
    </xf>
    <xf numFmtId="0" fontId="44" fillId="0" borderId="10" xfId="0" applyFont="1" applyBorder="1">
      <alignment vertical="center"/>
    </xf>
    <xf numFmtId="0" fontId="44" fillId="0" borderId="1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30" xfId="0" applyFont="1" applyBorder="1">
      <alignment vertical="center"/>
    </xf>
    <xf numFmtId="181" fontId="44" fillId="0" borderId="35" xfId="0" applyNumberFormat="1" applyFont="1" applyBorder="1" applyAlignment="1">
      <alignment horizontal="center" vertical="center"/>
    </xf>
    <xf numFmtId="176" fontId="44" fillId="25" borderId="35" xfId="0" applyNumberFormat="1" applyFont="1" applyFill="1" applyBorder="1" applyProtection="1">
      <alignment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5" xfId="0" applyFont="1" applyBorder="1" applyAlignment="1" applyProtection="1">
      <alignment horizontal="center" vertical="center"/>
      <protection locked="0"/>
    </xf>
    <xf numFmtId="0" fontId="44" fillId="28" borderId="14" xfId="0" applyFont="1" applyFill="1" applyBorder="1" applyAlignment="1" applyProtection="1">
      <alignment horizontal="center" vertical="center"/>
      <protection locked="0"/>
    </xf>
    <xf numFmtId="0" fontId="44" fillId="28" borderId="15" xfId="0" applyFont="1" applyFill="1" applyBorder="1" applyAlignment="1" applyProtection="1">
      <alignment horizontal="center" vertical="center"/>
      <protection locked="0"/>
    </xf>
    <xf numFmtId="0" fontId="44" fillId="0" borderId="31" xfId="0" applyFont="1" applyBorder="1" applyAlignment="1">
      <alignment horizontal="center" vertical="center"/>
    </xf>
    <xf numFmtId="0" fontId="44" fillId="25" borderId="32" xfId="0" applyFont="1" applyFill="1" applyBorder="1" applyAlignment="1" applyProtection="1">
      <alignment horizontal="center" vertical="center"/>
      <protection locked="0"/>
    </xf>
    <xf numFmtId="176" fontId="44" fillId="0" borderId="13" xfId="0" applyNumberFormat="1" applyFont="1" applyBorder="1" applyProtection="1">
      <alignment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44" fillId="28" borderId="11" xfId="0" applyFont="1" applyFill="1" applyBorder="1" applyAlignment="1" applyProtection="1">
      <alignment horizontal="center" vertical="center"/>
      <protection locked="0"/>
    </xf>
    <xf numFmtId="0" fontId="44" fillId="28" borderId="12" xfId="0" applyFont="1" applyFill="1" applyBorder="1" applyAlignment="1" applyProtection="1">
      <alignment horizontal="center" vertical="center"/>
      <protection locked="0"/>
    </xf>
    <xf numFmtId="0" fontId="44" fillId="0" borderId="117" xfId="0" applyFont="1" applyBorder="1" applyAlignment="1" applyProtection="1">
      <alignment horizontal="center" vertical="center"/>
      <protection locked="0"/>
    </xf>
    <xf numFmtId="0" fontId="44" fillId="0" borderId="54" xfId="0" applyFont="1" applyBorder="1" applyAlignment="1" applyProtection="1">
      <alignment horizontal="center" vertical="center"/>
      <protection locked="0"/>
    </xf>
    <xf numFmtId="0" fontId="44" fillId="0" borderId="32" xfId="0" applyFont="1" applyBorder="1" applyAlignment="1" applyProtection="1">
      <alignment horizontal="center" vertical="center"/>
      <protection locked="0"/>
    </xf>
    <xf numFmtId="0" fontId="44" fillId="28" borderId="14" xfId="0" applyFont="1" applyFill="1" applyBorder="1" applyAlignment="1">
      <alignment horizontal="center" vertical="center"/>
    </xf>
    <xf numFmtId="0" fontId="44" fillId="28" borderId="15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176" fontId="44" fillId="0" borderId="13" xfId="0" applyNumberFormat="1" applyFont="1" applyBorder="1">
      <alignment vertical="center"/>
    </xf>
    <xf numFmtId="0" fontId="44" fillId="0" borderId="13" xfId="0" applyFont="1" applyBorder="1" applyAlignment="1">
      <alignment horizontal="center" vertical="center"/>
    </xf>
    <xf numFmtId="176" fontId="44" fillId="0" borderId="16" xfId="0" applyNumberFormat="1" applyFont="1" applyBorder="1">
      <alignment vertical="center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44" fillId="28" borderId="19" xfId="0" applyFont="1" applyFill="1" applyBorder="1" applyAlignment="1" applyProtection="1">
      <alignment horizontal="center" vertical="center"/>
      <protection locked="0"/>
    </xf>
    <xf numFmtId="0" fontId="44" fillId="28" borderId="18" xfId="0" applyFont="1" applyFill="1" applyBorder="1" applyAlignment="1" applyProtection="1">
      <alignment horizontal="center" vertical="center"/>
      <protection locked="0"/>
    </xf>
    <xf numFmtId="0" fontId="44" fillId="28" borderId="19" xfId="0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176" fontId="44" fillId="0" borderId="20" xfId="0" applyNumberFormat="1" applyFont="1" applyBorder="1">
      <alignment vertical="center"/>
    </xf>
    <xf numFmtId="176" fontId="44" fillId="0" borderId="0" xfId="0" applyNumberFormat="1" applyFont="1">
      <alignment vertical="center"/>
    </xf>
    <xf numFmtId="0" fontId="44" fillId="0" borderId="0" xfId="0" applyFont="1" applyAlignment="1" applyProtection="1">
      <alignment horizontal="center" vertical="center"/>
      <protection hidden="1"/>
    </xf>
    <xf numFmtId="0" fontId="28" fillId="0" borderId="0" xfId="43" applyFont="1" applyProtection="1">
      <alignment vertical="center"/>
      <protection hidden="1"/>
    </xf>
    <xf numFmtId="49" fontId="28" fillId="0" borderId="0" xfId="43" applyNumberFormat="1" applyFont="1">
      <alignment vertical="center"/>
    </xf>
    <xf numFmtId="0" fontId="28" fillId="0" borderId="0" xfId="43" applyFont="1" applyAlignment="1">
      <alignment horizontal="center" vertical="center" shrinkToFit="1"/>
    </xf>
    <xf numFmtId="0" fontId="28" fillId="0" borderId="0" xfId="43" applyFont="1" applyAlignment="1" applyProtection="1">
      <alignment horizontal="center" vertical="center"/>
      <protection hidden="1"/>
    </xf>
    <xf numFmtId="181" fontId="28" fillId="0" borderId="0" xfId="43" applyNumberFormat="1" applyFont="1" applyProtection="1">
      <alignment vertical="center"/>
      <protection hidden="1"/>
    </xf>
    <xf numFmtId="181" fontId="31" fillId="0" borderId="0" xfId="43" applyNumberFormat="1" applyFont="1" applyProtection="1">
      <alignment vertical="center"/>
      <protection hidden="1"/>
    </xf>
    <xf numFmtId="0" fontId="33" fillId="0" borderId="36" xfId="43" applyFont="1" applyBorder="1" applyAlignment="1">
      <alignment horizontal="center" vertical="center" shrinkToFit="1"/>
    </xf>
    <xf numFmtId="0" fontId="33" fillId="0" borderId="36" xfId="43" applyFont="1" applyBorder="1" applyAlignment="1">
      <alignment horizontal="center" vertical="center"/>
    </xf>
    <xf numFmtId="0" fontId="31" fillId="0" borderId="30" xfId="43" applyFont="1" applyBorder="1" applyProtection="1">
      <alignment vertical="center"/>
      <protection hidden="1"/>
    </xf>
    <xf numFmtId="0" fontId="29" fillId="0" borderId="1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1" fillId="0" borderId="41" xfId="43" applyFont="1" applyBorder="1" applyAlignment="1" applyProtection="1">
      <alignment horizontal="center" vertical="center"/>
      <protection hidden="1"/>
    </xf>
    <xf numFmtId="0" fontId="31" fillId="0" borderId="42" xfId="43" applyFont="1" applyBorder="1" applyAlignment="1" applyProtection="1">
      <alignment horizontal="center" vertical="center"/>
      <protection hidden="1"/>
    </xf>
    <xf numFmtId="0" fontId="31" fillId="0" borderId="42" xfId="43" applyFont="1" applyBorder="1" applyProtection="1">
      <alignment vertical="center"/>
      <protection hidden="1"/>
    </xf>
    <xf numFmtId="181" fontId="31" fillId="0" borderId="43" xfId="43" applyNumberFormat="1" applyFont="1" applyBorder="1" applyProtection="1">
      <alignment vertical="center"/>
      <protection hidden="1"/>
    </xf>
    <xf numFmtId="181" fontId="31" fillId="0" borderId="69" xfId="43" applyNumberFormat="1" applyFont="1" applyBorder="1" applyAlignment="1" applyProtection="1">
      <alignment vertical="center" shrinkToFit="1"/>
      <protection hidden="1"/>
    </xf>
    <xf numFmtId="176" fontId="31" fillId="0" borderId="70" xfId="43" applyNumberFormat="1" applyFont="1" applyBorder="1" applyProtection="1">
      <alignment vertical="center"/>
      <protection hidden="1"/>
    </xf>
    <xf numFmtId="0" fontId="31" fillId="0" borderId="47" xfId="43" applyFont="1" applyBorder="1" applyAlignment="1" applyProtection="1">
      <alignment horizontal="center" vertical="center"/>
      <protection hidden="1"/>
    </xf>
    <xf numFmtId="179" fontId="31" fillId="0" borderId="47" xfId="43" applyNumberFormat="1" applyFont="1" applyBorder="1" applyAlignment="1" applyProtection="1">
      <alignment horizontal="center" vertical="center"/>
      <protection hidden="1"/>
    </xf>
    <xf numFmtId="0" fontId="31" fillId="0" borderId="47" xfId="43" applyFont="1" applyBorder="1" applyAlignment="1" applyProtection="1">
      <alignment horizontal="center" vertical="center" shrinkToFit="1"/>
      <protection hidden="1"/>
    </xf>
    <xf numFmtId="179" fontId="31" fillId="0" borderId="44" xfId="43" applyNumberFormat="1" applyFont="1" applyBorder="1" applyAlignment="1" applyProtection="1">
      <alignment horizontal="center" vertical="center" shrinkToFit="1"/>
      <protection locked="0"/>
    </xf>
    <xf numFmtId="0" fontId="31" fillId="0" borderId="45" xfId="43" applyFont="1" applyBorder="1" applyAlignment="1" applyProtection="1">
      <alignment horizontal="center" vertical="center"/>
      <protection locked="0"/>
    </xf>
    <xf numFmtId="179" fontId="31" fillId="0" borderId="46" xfId="43" applyNumberFormat="1" applyFont="1" applyBorder="1" applyAlignment="1" applyProtection="1">
      <alignment horizontal="center" vertical="center"/>
      <protection locked="0"/>
    </xf>
    <xf numFmtId="0" fontId="31" fillId="0" borderId="44" xfId="43" applyFont="1" applyBorder="1" applyAlignment="1" applyProtection="1">
      <alignment horizontal="center" vertical="center" shrinkToFit="1"/>
      <protection hidden="1"/>
    </xf>
    <xf numFmtId="0" fontId="31" fillId="26" borderId="74" xfId="43" applyFont="1" applyFill="1" applyBorder="1" applyAlignment="1" applyProtection="1">
      <alignment horizontal="center" vertical="center" shrinkToFit="1"/>
      <protection hidden="1"/>
    </xf>
    <xf numFmtId="0" fontId="31" fillId="26" borderId="75" xfId="43" applyFont="1" applyFill="1" applyBorder="1" applyAlignment="1" applyProtection="1">
      <alignment horizontal="center" vertical="center" shrinkToFit="1"/>
      <protection hidden="1"/>
    </xf>
    <xf numFmtId="181" fontId="31" fillId="0" borderId="76" xfId="43" applyNumberFormat="1" applyFont="1" applyBorder="1" applyAlignment="1" applyProtection="1">
      <alignment vertical="center" shrinkToFit="1"/>
      <protection hidden="1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>
      <alignment vertical="center"/>
    </xf>
    <xf numFmtId="0" fontId="29" fillId="0" borderId="49" xfId="0" applyFont="1" applyBorder="1">
      <alignment vertical="center"/>
    </xf>
    <xf numFmtId="0" fontId="29" fillId="0" borderId="15" xfId="0" applyFont="1" applyBorder="1">
      <alignment vertical="center"/>
    </xf>
    <xf numFmtId="0" fontId="31" fillId="0" borderId="31" xfId="43" applyFont="1" applyBorder="1" applyProtection="1">
      <alignment vertical="center"/>
      <protection hidden="1"/>
    </xf>
    <xf numFmtId="181" fontId="31" fillId="0" borderId="50" xfId="43" applyNumberFormat="1" applyFont="1" applyBorder="1" applyProtection="1">
      <alignment vertical="center"/>
      <protection hidden="1"/>
    </xf>
    <xf numFmtId="181" fontId="31" fillId="29" borderId="69" xfId="43" applyNumberFormat="1" applyFont="1" applyFill="1" applyBorder="1" applyAlignment="1" applyProtection="1">
      <alignment vertical="center" shrinkToFit="1"/>
      <protection hidden="1"/>
    </xf>
    <xf numFmtId="176" fontId="31" fillId="29" borderId="70" xfId="43" applyNumberFormat="1" applyFont="1" applyFill="1" applyBorder="1" applyProtection="1">
      <alignment vertical="center"/>
      <protection hidden="1"/>
    </xf>
    <xf numFmtId="0" fontId="31" fillId="29" borderId="17" xfId="43" applyFont="1" applyFill="1" applyBorder="1" applyAlignment="1" applyProtection="1">
      <alignment horizontal="center" vertical="center"/>
      <protection hidden="1"/>
    </xf>
    <xf numFmtId="179" fontId="31" fillId="29" borderId="17" xfId="43" applyNumberFormat="1" applyFont="1" applyFill="1" applyBorder="1" applyAlignment="1" applyProtection="1">
      <alignment horizontal="center" vertical="center"/>
      <protection hidden="1"/>
    </xf>
    <xf numFmtId="0" fontId="31" fillId="29" borderId="17" xfId="43" applyFont="1" applyFill="1" applyBorder="1" applyAlignment="1" applyProtection="1">
      <alignment horizontal="center" vertical="center" shrinkToFit="1"/>
      <protection hidden="1"/>
    </xf>
    <xf numFmtId="179" fontId="31" fillId="29" borderId="19" xfId="43" applyNumberFormat="1" applyFont="1" applyFill="1" applyBorder="1" applyAlignment="1" applyProtection="1">
      <alignment horizontal="center" vertical="center" shrinkToFit="1"/>
      <protection locked="0"/>
    </xf>
    <xf numFmtId="0" fontId="31" fillId="29" borderId="51" xfId="43" applyFont="1" applyFill="1" applyBorder="1" applyAlignment="1" applyProtection="1">
      <alignment horizontal="center" vertical="center"/>
      <protection locked="0"/>
    </xf>
    <xf numFmtId="179" fontId="31" fillId="29" borderId="18" xfId="43" applyNumberFormat="1" applyFont="1" applyFill="1" applyBorder="1" applyAlignment="1" applyProtection="1">
      <alignment horizontal="center" vertical="center"/>
      <protection locked="0"/>
    </xf>
    <xf numFmtId="0" fontId="31" fillId="29" borderId="19" xfId="43" applyFont="1" applyFill="1" applyBorder="1" applyAlignment="1" applyProtection="1">
      <alignment horizontal="center" vertical="center" shrinkToFit="1"/>
      <protection hidden="1"/>
    </xf>
    <xf numFmtId="0" fontId="31" fillId="26" borderId="77" xfId="43" applyFont="1" applyFill="1" applyBorder="1" applyAlignment="1" applyProtection="1">
      <alignment horizontal="center" vertical="center" shrinkToFit="1"/>
      <protection hidden="1"/>
    </xf>
    <xf numFmtId="0" fontId="31" fillId="26" borderId="32" xfId="43" applyFont="1" applyFill="1" applyBorder="1" applyAlignment="1" applyProtection="1">
      <alignment horizontal="center" vertical="center" shrinkToFit="1"/>
      <protection hidden="1"/>
    </xf>
    <xf numFmtId="0" fontId="29" fillId="0" borderId="13" xfId="0" applyFont="1" applyBorder="1" applyAlignment="1">
      <alignment horizontal="center" vertical="center"/>
    </xf>
    <xf numFmtId="0" fontId="29" fillId="0" borderId="52" xfId="0" applyFont="1" applyBorder="1">
      <alignment vertical="center"/>
    </xf>
    <xf numFmtId="0" fontId="29" fillId="0" borderId="53" xfId="0" applyFont="1" applyBorder="1">
      <alignment vertical="center"/>
    </xf>
    <xf numFmtId="0" fontId="29" fillId="0" borderId="54" xfId="0" applyFont="1" applyBorder="1">
      <alignment vertical="center"/>
    </xf>
    <xf numFmtId="181" fontId="31" fillId="0" borderId="32" xfId="43" applyNumberFormat="1" applyFont="1" applyBorder="1" applyProtection="1">
      <alignment vertical="center"/>
      <protection hidden="1"/>
    </xf>
    <xf numFmtId="181" fontId="31" fillId="25" borderId="69" xfId="43" applyNumberFormat="1" applyFont="1" applyFill="1" applyBorder="1" applyAlignment="1" applyProtection="1">
      <alignment vertical="center" shrinkToFit="1"/>
      <protection hidden="1"/>
    </xf>
    <xf numFmtId="176" fontId="31" fillId="25" borderId="70" xfId="43" applyNumberFormat="1" applyFont="1" applyFill="1" applyBorder="1" applyProtection="1">
      <alignment vertical="center"/>
      <protection hidden="1"/>
    </xf>
    <xf numFmtId="0" fontId="31" fillId="25" borderId="47" xfId="43" applyFont="1" applyFill="1" applyBorder="1" applyAlignment="1" applyProtection="1">
      <alignment horizontal="center" vertical="center"/>
      <protection hidden="1"/>
    </xf>
    <xf numFmtId="179" fontId="31" fillId="25" borderId="47" xfId="43" applyNumberFormat="1" applyFont="1" applyFill="1" applyBorder="1" applyAlignment="1" applyProtection="1">
      <alignment horizontal="center" vertical="center"/>
      <protection hidden="1"/>
    </xf>
    <xf numFmtId="0" fontId="31" fillId="25" borderId="47" xfId="43" applyFont="1" applyFill="1" applyBorder="1" applyAlignment="1" applyProtection="1">
      <alignment horizontal="center" vertical="center" shrinkToFit="1"/>
      <protection hidden="1"/>
    </xf>
    <xf numFmtId="179" fontId="31" fillId="25" borderId="44" xfId="43" applyNumberFormat="1" applyFont="1" applyFill="1" applyBorder="1" applyAlignment="1" applyProtection="1">
      <alignment horizontal="center" vertical="center" shrinkToFit="1"/>
      <protection locked="0"/>
    </xf>
    <xf numFmtId="0" fontId="31" fillId="25" borderId="45" xfId="43" applyFont="1" applyFill="1" applyBorder="1" applyAlignment="1" applyProtection="1">
      <alignment horizontal="center" vertical="center"/>
      <protection locked="0"/>
    </xf>
    <xf numFmtId="179" fontId="31" fillId="25" borderId="46" xfId="43" applyNumberFormat="1" applyFont="1" applyFill="1" applyBorder="1" applyAlignment="1" applyProtection="1">
      <alignment horizontal="center" vertical="center"/>
      <protection locked="0"/>
    </xf>
    <xf numFmtId="0" fontId="31" fillId="26" borderId="78" xfId="43" applyFont="1" applyFill="1" applyBorder="1" applyAlignment="1" applyProtection="1">
      <alignment horizontal="center" vertical="center" shrinkToFit="1"/>
      <protection hidden="1"/>
    </xf>
    <xf numFmtId="0" fontId="31" fillId="26" borderId="50" xfId="43" applyFont="1" applyFill="1" applyBorder="1" applyAlignment="1" applyProtection="1">
      <alignment horizontal="center" vertical="center" shrinkToFit="1"/>
      <protection hidden="1"/>
    </xf>
    <xf numFmtId="181" fontId="31" fillId="25" borderId="76" xfId="43" applyNumberFormat="1" applyFont="1" applyFill="1" applyBorder="1" applyAlignment="1" applyProtection="1">
      <alignment vertical="center" shrinkToFit="1"/>
      <protection hidden="1"/>
    </xf>
    <xf numFmtId="181" fontId="31" fillId="30" borderId="69" xfId="43" applyNumberFormat="1" applyFont="1" applyFill="1" applyBorder="1" applyAlignment="1" applyProtection="1">
      <alignment vertical="center" shrinkToFit="1"/>
      <protection hidden="1"/>
    </xf>
    <xf numFmtId="176" fontId="31" fillId="30" borderId="70" xfId="43" applyNumberFormat="1" applyFont="1" applyFill="1" applyBorder="1" applyProtection="1">
      <alignment vertical="center"/>
      <protection hidden="1"/>
    </xf>
    <xf numFmtId="0" fontId="31" fillId="30" borderId="17" xfId="43" applyFont="1" applyFill="1" applyBorder="1" applyAlignment="1" applyProtection="1">
      <alignment horizontal="center" vertical="center"/>
      <protection hidden="1"/>
    </xf>
    <xf numFmtId="179" fontId="31" fillId="30" borderId="17" xfId="43" applyNumberFormat="1" applyFont="1" applyFill="1" applyBorder="1" applyAlignment="1" applyProtection="1">
      <alignment horizontal="center" vertical="center"/>
      <protection hidden="1"/>
    </xf>
    <xf numFmtId="0" fontId="31" fillId="30" borderId="17" xfId="43" applyFont="1" applyFill="1" applyBorder="1" applyAlignment="1" applyProtection="1">
      <alignment horizontal="center" vertical="center" shrinkToFit="1"/>
      <protection hidden="1"/>
    </xf>
    <xf numFmtId="179" fontId="31" fillId="30" borderId="19" xfId="43" applyNumberFormat="1" applyFont="1" applyFill="1" applyBorder="1" applyAlignment="1" applyProtection="1">
      <alignment horizontal="center" vertical="center" shrinkToFit="1"/>
      <protection locked="0"/>
    </xf>
    <xf numFmtId="0" fontId="31" fillId="30" borderId="51" xfId="43" applyFont="1" applyFill="1" applyBorder="1" applyAlignment="1" applyProtection="1">
      <alignment horizontal="center" vertical="center"/>
      <protection locked="0"/>
    </xf>
    <xf numFmtId="179" fontId="31" fillId="30" borderId="18" xfId="43" applyNumberFormat="1" applyFont="1" applyFill="1" applyBorder="1" applyAlignment="1" applyProtection="1">
      <alignment horizontal="center" vertical="center"/>
      <protection locked="0"/>
    </xf>
    <xf numFmtId="0" fontId="29" fillId="0" borderId="55" xfId="0" applyFont="1" applyBorder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56" xfId="0" applyFont="1" applyBorder="1">
      <alignment vertical="center"/>
    </xf>
    <xf numFmtId="0" fontId="29" fillId="0" borderId="57" xfId="0" applyFont="1" applyBorder="1">
      <alignment vertical="center"/>
    </xf>
    <xf numFmtId="0" fontId="29" fillId="0" borderId="58" xfId="0" applyFont="1" applyBorder="1">
      <alignment vertical="center"/>
    </xf>
    <xf numFmtId="179" fontId="31" fillId="0" borderId="0" xfId="43" applyNumberFormat="1" applyFont="1" applyProtection="1">
      <alignment vertical="center"/>
      <protection hidden="1"/>
    </xf>
    <xf numFmtId="0" fontId="31" fillId="25" borderId="17" xfId="43" applyFont="1" applyFill="1" applyBorder="1" applyAlignment="1" applyProtection="1">
      <alignment horizontal="center" vertical="center"/>
      <protection hidden="1"/>
    </xf>
    <xf numFmtId="179" fontId="31" fillId="25" borderId="17" xfId="43" applyNumberFormat="1" applyFont="1" applyFill="1" applyBorder="1" applyAlignment="1" applyProtection="1">
      <alignment horizontal="center" vertical="center"/>
      <protection hidden="1"/>
    </xf>
    <xf numFmtId="0" fontId="31" fillId="25" borderId="17" xfId="43" applyFont="1" applyFill="1" applyBorder="1" applyAlignment="1" applyProtection="1">
      <alignment horizontal="center" vertical="center" shrinkToFit="1"/>
      <protection hidden="1"/>
    </xf>
    <xf numFmtId="179" fontId="31" fillId="25" borderId="19" xfId="43" applyNumberFormat="1" applyFont="1" applyFill="1" applyBorder="1" applyAlignment="1" applyProtection="1">
      <alignment horizontal="center" vertical="center" shrinkToFit="1"/>
      <protection locked="0"/>
    </xf>
    <xf numFmtId="0" fontId="31" fillId="25" borderId="51" xfId="43" applyFont="1" applyFill="1" applyBorder="1" applyAlignment="1" applyProtection="1">
      <alignment horizontal="center" vertical="center"/>
      <protection locked="0"/>
    </xf>
    <xf numFmtId="179" fontId="31" fillId="25" borderId="18" xfId="43" applyNumberFormat="1" applyFont="1" applyFill="1" applyBorder="1" applyAlignment="1" applyProtection="1">
      <alignment horizontal="center" vertical="center"/>
      <protection locked="0"/>
    </xf>
    <xf numFmtId="0" fontId="31" fillId="0" borderId="19" xfId="43" applyFont="1" applyBorder="1" applyAlignment="1" applyProtection="1">
      <alignment horizontal="center" vertical="center" shrinkToFit="1"/>
      <protection hidden="1"/>
    </xf>
    <xf numFmtId="0" fontId="31" fillId="0" borderId="17" xfId="43" applyFont="1" applyBorder="1" applyAlignment="1" applyProtection="1">
      <alignment horizontal="center" vertical="center"/>
      <protection hidden="1"/>
    </xf>
    <xf numFmtId="179" fontId="31" fillId="0" borderId="17" xfId="43" applyNumberFormat="1" applyFont="1" applyBorder="1" applyAlignment="1" applyProtection="1">
      <alignment horizontal="center" vertical="center"/>
      <protection hidden="1"/>
    </xf>
    <xf numFmtId="0" fontId="31" fillId="0" borderId="17" xfId="43" applyFont="1" applyBorder="1" applyAlignment="1" applyProtection="1">
      <alignment horizontal="center" vertical="center" shrinkToFit="1"/>
      <protection hidden="1"/>
    </xf>
    <xf numFmtId="179" fontId="31" fillId="0" borderId="19" xfId="43" applyNumberFormat="1" applyFont="1" applyBorder="1" applyAlignment="1" applyProtection="1">
      <alignment horizontal="center" vertical="center" shrinkToFit="1"/>
      <protection locked="0"/>
    </xf>
    <xf numFmtId="0" fontId="31" fillId="0" borderId="51" xfId="43" applyFont="1" applyBorder="1" applyAlignment="1" applyProtection="1">
      <alignment horizontal="center" vertical="center"/>
      <protection locked="0"/>
    </xf>
    <xf numFmtId="179" fontId="31" fillId="0" borderId="18" xfId="43" applyNumberFormat="1" applyFont="1" applyBorder="1" applyAlignment="1" applyProtection="1">
      <alignment horizontal="center" vertical="center"/>
      <protection locked="0"/>
    </xf>
    <xf numFmtId="0" fontId="31" fillId="26" borderId="79" xfId="43" applyFont="1" applyFill="1" applyBorder="1" applyAlignment="1" applyProtection="1">
      <alignment horizontal="center" vertical="center" shrinkToFit="1"/>
      <protection hidden="1"/>
    </xf>
    <xf numFmtId="0" fontId="31" fillId="26" borderId="80" xfId="43" applyFont="1" applyFill="1" applyBorder="1" applyAlignment="1" applyProtection="1">
      <alignment horizontal="center" vertical="center" shrinkToFit="1"/>
      <protection hidden="1"/>
    </xf>
    <xf numFmtId="176" fontId="45" fillId="25" borderId="70" xfId="43" applyNumberFormat="1" applyFont="1" applyFill="1" applyBorder="1" applyProtection="1">
      <alignment vertical="center"/>
      <protection hidden="1"/>
    </xf>
    <xf numFmtId="0" fontId="45" fillId="25" borderId="47" xfId="43" applyFont="1" applyFill="1" applyBorder="1" applyAlignment="1" applyProtection="1">
      <alignment horizontal="center" vertical="center"/>
      <protection hidden="1"/>
    </xf>
    <xf numFmtId="179" fontId="45" fillId="25" borderId="47" xfId="43" applyNumberFormat="1" applyFont="1" applyFill="1" applyBorder="1" applyAlignment="1" applyProtection="1">
      <alignment horizontal="center" vertical="center"/>
      <protection hidden="1"/>
    </xf>
    <xf numFmtId="0" fontId="45" fillId="25" borderId="47" xfId="43" applyFont="1" applyFill="1" applyBorder="1" applyAlignment="1" applyProtection="1">
      <alignment horizontal="center" vertical="center" shrinkToFit="1"/>
      <protection hidden="1"/>
    </xf>
    <xf numFmtId="179" fontId="45" fillId="25" borderId="44" xfId="43" applyNumberFormat="1" applyFont="1" applyFill="1" applyBorder="1" applyAlignment="1" applyProtection="1">
      <alignment horizontal="center" vertical="center" shrinkToFit="1"/>
      <protection locked="0"/>
    </xf>
    <xf numFmtId="0" fontId="45" fillId="25" borderId="45" xfId="43" applyFont="1" applyFill="1" applyBorder="1" applyAlignment="1" applyProtection="1">
      <alignment horizontal="center" vertical="center"/>
      <protection locked="0"/>
    </xf>
    <xf numFmtId="179" fontId="45" fillId="25" borderId="46" xfId="43" applyNumberFormat="1" applyFont="1" applyFill="1" applyBorder="1" applyAlignment="1" applyProtection="1">
      <alignment horizontal="center" vertical="center"/>
      <protection locked="0"/>
    </xf>
    <xf numFmtId="0" fontId="45" fillId="0" borderId="44" xfId="43" applyFont="1" applyBorder="1" applyAlignment="1" applyProtection="1">
      <alignment horizontal="center" vertical="center" shrinkToFit="1"/>
      <protection hidden="1"/>
    </xf>
    <xf numFmtId="0" fontId="45" fillId="26" borderId="78" xfId="43" applyFont="1" applyFill="1" applyBorder="1" applyAlignment="1" applyProtection="1">
      <alignment horizontal="center" vertical="center" shrinkToFit="1"/>
      <protection hidden="1"/>
    </xf>
    <xf numFmtId="0" fontId="45" fillId="26" borderId="50" xfId="43" applyFont="1" applyFill="1" applyBorder="1" applyAlignment="1" applyProtection="1">
      <alignment horizontal="center" vertical="center" shrinkToFit="1"/>
      <protection hidden="1"/>
    </xf>
    <xf numFmtId="181" fontId="45" fillId="25" borderId="76" xfId="43" applyNumberFormat="1" applyFont="1" applyFill="1" applyBorder="1" applyAlignment="1" applyProtection="1">
      <alignment vertical="center" shrinkToFit="1"/>
      <protection hidden="1"/>
    </xf>
    <xf numFmtId="0" fontId="45" fillId="25" borderId="17" xfId="43" applyFont="1" applyFill="1" applyBorder="1" applyAlignment="1" applyProtection="1">
      <alignment horizontal="center" vertical="center"/>
      <protection hidden="1"/>
    </xf>
    <xf numFmtId="179" fontId="45" fillId="25" borderId="17" xfId="43" applyNumberFormat="1" applyFont="1" applyFill="1" applyBorder="1" applyAlignment="1" applyProtection="1">
      <alignment horizontal="center" vertical="center"/>
      <protection hidden="1"/>
    </xf>
    <xf numFmtId="0" fontId="45" fillId="25" borderId="17" xfId="43" applyFont="1" applyFill="1" applyBorder="1" applyAlignment="1" applyProtection="1">
      <alignment horizontal="center" vertical="center" shrinkToFit="1"/>
      <protection hidden="1"/>
    </xf>
    <xf numFmtId="179" fontId="45" fillId="25" borderId="19" xfId="43" applyNumberFormat="1" applyFont="1" applyFill="1" applyBorder="1" applyAlignment="1" applyProtection="1">
      <alignment horizontal="center" vertical="center" shrinkToFit="1"/>
      <protection locked="0"/>
    </xf>
    <xf numFmtId="0" fontId="45" fillId="25" borderId="51" xfId="43" applyFont="1" applyFill="1" applyBorder="1" applyAlignment="1" applyProtection="1">
      <alignment horizontal="center" vertical="center"/>
      <protection locked="0"/>
    </xf>
    <xf numFmtId="179" fontId="45" fillId="25" borderId="18" xfId="43" applyNumberFormat="1" applyFont="1" applyFill="1" applyBorder="1" applyAlignment="1" applyProtection="1">
      <alignment horizontal="center" vertical="center"/>
      <protection locked="0"/>
    </xf>
    <xf numFmtId="0" fontId="45" fillId="0" borderId="19" xfId="43" applyFont="1" applyBorder="1" applyAlignment="1" applyProtection="1">
      <alignment horizontal="center" vertical="center" shrinkToFit="1"/>
      <protection hidden="1"/>
    </xf>
    <xf numFmtId="0" fontId="45" fillId="26" borderId="77" xfId="43" applyFont="1" applyFill="1" applyBorder="1" applyAlignment="1" applyProtection="1">
      <alignment horizontal="center" vertical="center" shrinkToFit="1"/>
      <protection hidden="1"/>
    </xf>
    <xf numFmtId="0" fontId="45" fillId="26" borderId="32" xfId="43" applyFont="1" applyFill="1" applyBorder="1" applyAlignment="1" applyProtection="1">
      <alignment horizontal="center" vertical="center" shrinkToFit="1"/>
      <protection hidden="1"/>
    </xf>
    <xf numFmtId="176" fontId="45" fillId="0" borderId="70" xfId="43" applyNumberFormat="1" applyFont="1" applyBorder="1" applyProtection="1">
      <alignment vertical="center"/>
      <protection hidden="1"/>
    </xf>
    <xf numFmtId="0" fontId="45" fillId="0" borderId="47" xfId="43" applyFont="1" applyBorder="1" applyAlignment="1" applyProtection="1">
      <alignment horizontal="center" vertical="center"/>
      <protection hidden="1"/>
    </xf>
    <xf numFmtId="179" fontId="45" fillId="0" borderId="47" xfId="43" applyNumberFormat="1" applyFont="1" applyBorder="1" applyAlignment="1" applyProtection="1">
      <alignment horizontal="center" vertical="center"/>
      <protection hidden="1"/>
    </xf>
    <xf numFmtId="0" fontId="45" fillId="0" borderId="47" xfId="43" applyFont="1" applyBorder="1" applyAlignment="1" applyProtection="1">
      <alignment horizontal="center" vertical="center" shrinkToFit="1"/>
      <protection hidden="1"/>
    </xf>
    <xf numFmtId="179" fontId="45" fillId="0" borderId="44" xfId="43" applyNumberFormat="1" applyFont="1" applyBorder="1" applyAlignment="1" applyProtection="1">
      <alignment horizontal="center" vertical="center" shrinkToFit="1"/>
      <protection locked="0"/>
    </xf>
    <xf numFmtId="0" fontId="45" fillId="0" borderId="45" xfId="43" applyFont="1" applyBorder="1" applyAlignment="1" applyProtection="1">
      <alignment horizontal="center" vertical="center"/>
      <protection locked="0"/>
    </xf>
    <xf numFmtId="179" fontId="45" fillId="0" borderId="46" xfId="43" applyNumberFormat="1" applyFont="1" applyBorder="1" applyAlignment="1" applyProtection="1">
      <alignment horizontal="center" vertical="center"/>
      <protection locked="0"/>
    </xf>
    <xf numFmtId="181" fontId="45" fillId="0" borderId="76" xfId="43" applyNumberFormat="1" applyFont="1" applyBorder="1" applyAlignment="1" applyProtection="1">
      <alignment vertical="center" shrinkToFit="1"/>
      <protection hidden="1"/>
    </xf>
    <xf numFmtId="0" fontId="45" fillId="0" borderId="17" xfId="43" applyFont="1" applyBorder="1" applyAlignment="1" applyProtection="1">
      <alignment horizontal="center" vertical="center"/>
      <protection hidden="1"/>
    </xf>
    <xf numFmtId="179" fontId="45" fillId="0" borderId="17" xfId="43" applyNumberFormat="1" applyFont="1" applyBorder="1" applyAlignment="1" applyProtection="1">
      <alignment horizontal="center" vertical="center"/>
      <protection hidden="1"/>
    </xf>
    <xf numFmtId="0" fontId="45" fillId="0" borderId="17" xfId="43" applyFont="1" applyBorder="1" applyAlignment="1" applyProtection="1">
      <alignment horizontal="center" vertical="center" shrinkToFit="1"/>
      <protection hidden="1"/>
    </xf>
    <xf numFmtId="179" fontId="45" fillId="0" borderId="19" xfId="43" applyNumberFormat="1" applyFont="1" applyBorder="1" applyAlignment="1" applyProtection="1">
      <alignment horizontal="center" vertical="center" shrinkToFit="1"/>
      <protection locked="0"/>
    </xf>
    <xf numFmtId="0" fontId="45" fillId="0" borderId="51" xfId="43" applyFont="1" applyBorder="1" applyAlignment="1" applyProtection="1">
      <alignment horizontal="center" vertical="center"/>
      <protection locked="0"/>
    </xf>
    <xf numFmtId="179" fontId="45" fillId="0" borderId="18" xfId="43" applyNumberFormat="1" applyFont="1" applyBorder="1" applyAlignment="1" applyProtection="1">
      <alignment horizontal="center" vertical="center"/>
      <protection locked="0"/>
    </xf>
    <xf numFmtId="181" fontId="31" fillId="25" borderId="71" xfId="43" applyNumberFormat="1" applyFont="1" applyFill="1" applyBorder="1" applyAlignment="1" applyProtection="1">
      <alignment vertical="center" shrinkToFit="1"/>
      <protection hidden="1"/>
    </xf>
    <xf numFmtId="176" fontId="45" fillId="25" borderId="72" xfId="43" applyNumberFormat="1" applyFont="1" applyFill="1" applyBorder="1" applyProtection="1">
      <alignment vertical="center"/>
      <protection hidden="1"/>
    </xf>
    <xf numFmtId="0" fontId="45" fillId="25" borderId="73" xfId="43" applyFont="1" applyFill="1" applyBorder="1" applyAlignment="1" applyProtection="1">
      <alignment horizontal="center" vertical="center"/>
      <protection hidden="1"/>
    </xf>
    <xf numFmtId="179" fontId="45" fillId="25" borderId="73" xfId="43" applyNumberFormat="1" applyFont="1" applyFill="1" applyBorder="1" applyAlignment="1" applyProtection="1">
      <alignment horizontal="center" vertical="center"/>
      <protection hidden="1"/>
    </xf>
    <xf numFmtId="0" fontId="45" fillId="25" borderId="73" xfId="43" applyFont="1" applyFill="1" applyBorder="1" applyAlignment="1" applyProtection="1">
      <alignment horizontal="center" vertical="center" shrinkToFit="1"/>
      <protection hidden="1"/>
    </xf>
    <xf numFmtId="179" fontId="45" fillId="25" borderId="59" xfId="43" applyNumberFormat="1" applyFont="1" applyFill="1" applyBorder="1" applyAlignment="1" applyProtection="1">
      <alignment horizontal="center" vertical="center" shrinkToFit="1"/>
      <protection locked="0"/>
    </xf>
    <xf numFmtId="0" fontId="45" fillId="25" borderId="60" xfId="43" applyFont="1" applyFill="1" applyBorder="1" applyAlignment="1" applyProtection="1">
      <alignment horizontal="center" vertical="center"/>
      <protection locked="0"/>
    </xf>
    <xf numFmtId="179" fontId="45" fillId="25" borderId="61" xfId="43" applyNumberFormat="1" applyFont="1" applyFill="1" applyBorder="1" applyAlignment="1" applyProtection="1">
      <alignment horizontal="center" vertical="center"/>
      <protection locked="0"/>
    </xf>
    <xf numFmtId="0" fontId="45" fillId="0" borderId="59" xfId="43" applyFont="1" applyBorder="1" applyAlignment="1" applyProtection="1">
      <alignment horizontal="center" vertical="center" shrinkToFit="1"/>
      <protection hidden="1"/>
    </xf>
    <xf numFmtId="0" fontId="45" fillId="26" borderId="81" xfId="43" applyFont="1" applyFill="1" applyBorder="1" applyAlignment="1" applyProtection="1">
      <alignment horizontal="center" vertical="center" shrinkToFit="1"/>
      <protection hidden="1"/>
    </xf>
    <xf numFmtId="0" fontId="45" fillId="26" borderId="34" xfId="43" applyFont="1" applyFill="1" applyBorder="1" applyAlignment="1" applyProtection="1">
      <alignment horizontal="center" vertical="center" shrinkToFit="1"/>
      <protection hidden="1"/>
    </xf>
    <xf numFmtId="181" fontId="45" fillId="25" borderId="82" xfId="43" applyNumberFormat="1" applyFont="1" applyFill="1" applyBorder="1" applyAlignment="1" applyProtection="1">
      <alignment vertical="center" shrinkToFit="1"/>
      <protection hidden="1"/>
    </xf>
    <xf numFmtId="181" fontId="31" fillId="0" borderId="0" xfId="43" applyNumberFormat="1" applyFont="1" applyAlignment="1">
      <alignment vertical="center" shrinkToFit="1"/>
    </xf>
    <xf numFmtId="179" fontId="31" fillId="0" borderId="0" xfId="43" applyNumberFormat="1" applyFont="1" applyAlignment="1">
      <alignment horizontal="center" vertical="center"/>
    </xf>
    <xf numFmtId="0" fontId="31" fillId="0" borderId="0" xfId="43" applyFont="1" applyAlignment="1">
      <alignment horizontal="center" vertical="center" shrinkToFit="1"/>
    </xf>
    <xf numFmtId="179" fontId="31" fillId="0" borderId="0" xfId="43" applyNumberFormat="1" applyFont="1" applyAlignment="1" applyProtection="1">
      <alignment horizontal="center" vertical="center" shrinkToFit="1"/>
      <protection locked="0"/>
    </xf>
    <xf numFmtId="0" fontId="31" fillId="0" borderId="0" xfId="43" applyFont="1" applyAlignment="1" applyProtection="1">
      <alignment horizontal="center" vertical="center"/>
      <protection locked="0"/>
    </xf>
    <xf numFmtId="179" fontId="31" fillId="0" borderId="0" xfId="43" applyNumberFormat="1" applyFont="1" applyAlignment="1" applyProtection="1">
      <alignment horizontal="center" vertical="center"/>
      <protection locked="0"/>
    </xf>
    <xf numFmtId="181" fontId="45" fillId="0" borderId="0" xfId="43" applyNumberFormat="1" applyFont="1" applyAlignment="1">
      <alignment vertical="center" shrinkToFit="1"/>
    </xf>
    <xf numFmtId="176" fontId="45" fillId="0" borderId="0" xfId="43" applyNumberFormat="1" applyFont="1">
      <alignment vertical="center"/>
    </xf>
    <xf numFmtId="0" fontId="45" fillId="0" borderId="0" xfId="43" applyFont="1" applyAlignment="1">
      <alignment horizontal="center" vertical="center"/>
    </xf>
    <xf numFmtId="179" fontId="45" fillId="0" borderId="0" xfId="43" applyNumberFormat="1" applyFont="1" applyAlignment="1">
      <alignment horizontal="center" vertical="center"/>
    </xf>
    <xf numFmtId="0" fontId="45" fillId="0" borderId="0" xfId="43" applyFont="1" applyAlignment="1">
      <alignment horizontal="center" vertical="center" shrinkToFit="1"/>
    </xf>
    <xf numFmtId="179" fontId="45" fillId="0" borderId="0" xfId="43" applyNumberFormat="1" applyFont="1" applyAlignment="1" applyProtection="1">
      <alignment horizontal="center" vertical="center" shrinkToFit="1"/>
      <protection locked="0"/>
    </xf>
    <xf numFmtId="0" fontId="45" fillId="0" borderId="0" xfId="43" applyFont="1" applyAlignment="1" applyProtection="1">
      <alignment horizontal="center" vertical="center"/>
      <protection locked="0"/>
    </xf>
    <xf numFmtId="179" fontId="45" fillId="0" borderId="0" xfId="43" applyNumberFormat="1" applyFont="1" applyAlignment="1" applyProtection="1">
      <alignment horizontal="center" vertical="center"/>
      <protection locked="0"/>
    </xf>
    <xf numFmtId="0" fontId="46" fillId="0" borderId="0" xfId="43" applyFont="1" applyAlignment="1">
      <alignment horizontal="center" vertical="center"/>
    </xf>
    <xf numFmtId="0" fontId="31" fillId="0" borderId="33" xfId="43" applyFont="1" applyBorder="1" applyProtection="1">
      <alignment vertical="center"/>
      <protection hidden="1"/>
    </xf>
    <xf numFmtId="0" fontId="31" fillId="0" borderId="62" xfId="43" applyFont="1" applyBorder="1" applyProtection="1">
      <alignment vertical="center"/>
      <protection hidden="1"/>
    </xf>
    <xf numFmtId="181" fontId="31" fillId="0" borderId="34" xfId="43" applyNumberFormat="1" applyFont="1" applyBorder="1" applyProtection="1">
      <alignment vertical="center"/>
      <protection hidden="1"/>
    </xf>
    <xf numFmtId="0" fontId="31" fillId="26" borderId="31" xfId="43" applyFont="1" applyFill="1" applyBorder="1" applyProtection="1">
      <alignment vertical="center"/>
      <protection hidden="1"/>
    </xf>
    <xf numFmtId="0" fontId="31" fillId="26" borderId="0" xfId="43" applyFont="1" applyFill="1" applyProtection="1">
      <alignment vertical="center"/>
      <protection hidden="1"/>
    </xf>
    <xf numFmtId="0" fontId="31" fillId="26" borderId="63" xfId="43" applyFont="1" applyFill="1" applyBorder="1" applyProtection="1">
      <alignment vertical="center"/>
      <protection hidden="1"/>
    </xf>
    <xf numFmtId="181" fontId="31" fillId="26" borderId="50" xfId="43" applyNumberFormat="1" applyFont="1" applyFill="1" applyBorder="1" applyProtection="1">
      <alignment vertical="center"/>
      <protection hidden="1"/>
    </xf>
    <xf numFmtId="181" fontId="31" fillId="26" borderId="32" xfId="43" applyNumberFormat="1" applyFont="1" applyFill="1" applyBorder="1" applyProtection="1">
      <alignment vertical="center"/>
      <protection hidden="1"/>
    </xf>
    <xf numFmtId="0" fontId="31" fillId="26" borderId="33" xfId="43" applyFont="1" applyFill="1" applyBorder="1" applyProtection="1">
      <alignment vertical="center"/>
      <protection hidden="1"/>
    </xf>
    <xf numFmtId="0" fontId="31" fillId="26" borderId="62" xfId="43" applyFont="1" applyFill="1" applyBorder="1" applyProtection="1">
      <alignment vertical="center"/>
      <protection hidden="1"/>
    </xf>
    <xf numFmtId="181" fontId="31" fillId="26" borderId="34" xfId="43" applyNumberFormat="1" applyFont="1" applyFill="1" applyBorder="1" applyProtection="1">
      <alignment vertical="center"/>
      <protection hidden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43" fillId="0" borderId="0" xfId="43" applyFont="1" applyAlignment="1" applyProtection="1">
      <alignment horizontal="center" vertical="center"/>
      <protection hidden="1"/>
    </xf>
    <xf numFmtId="0" fontId="43" fillId="0" borderId="0" xfId="43" applyFont="1" applyProtection="1">
      <alignment vertical="center"/>
      <protection hidden="1"/>
    </xf>
    <xf numFmtId="0" fontId="48" fillId="33" borderId="0" xfId="41" applyFont="1" applyFill="1" applyAlignment="1" applyProtection="1">
      <alignment horizontal="left" vertical="top" indent="1"/>
      <protection hidden="1"/>
    </xf>
    <xf numFmtId="0" fontId="49" fillId="33" borderId="0" xfId="41" applyFont="1" applyFill="1" applyAlignment="1" applyProtection="1">
      <alignment vertical="top"/>
      <protection hidden="1"/>
    </xf>
    <xf numFmtId="0" fontId="48" fillId="33" borderId="0" xfId="43" applyFont="1" applyFill="1" applyProtection="1">
      <alignment vertical="center"/>
      <protection hidden="1"/>
    </xf>
    <xf numFmtId="0" fontId="51" fillId="33" borderId="0" xfId="0" applyFont="1" applyFill="1" applyProtection="1">
      <alignment vertical="center"/>
      <protection hidden="1"/>
    </xf>
    <xf numFmtId="0" fontId="27" fillId="0" borderId="0" xfId="43" applyFont="1" applyProtection="1">
      <alignment vertical="center"/>
      <protection hidden="1"/>
    </xf>
    <xf numFmtId="0" fontId="36" fillId="0" borderId="0" xfId="43" applyFont="1" applyAlignment="1">
      <alignment horizontal="center" vertical="center"/>
    </xf>
    <xf numFmtId="0" fontId="27" fillId="0" borderId="0" xfId="41" applyFont="1" applyAlignment="1" applyProtection="1">
      <alignment vertical="top"/>
      <protection hidden="1"/>
    </xf>
    <xf numFmtId="0" fontId="50" fillId="33" borderId="0" xfId="0" applyFont="1" applyFill="1" applyAlignment="1">
      <alignment vertical="center" shrinkToFit="1"/>
    </xf>
    <xf numFmtId="0" fontId="30" fillId="0" borderId="0" xfId="43" applyFont="1" applyProtection="1">
      <alignment vertical="center"/>
      <protection hidden="1"/>
    </xf>
    <xf numFmtId="0" fontId="49" fillId="33" borderId="0" xfId="43" applyFont="1" applyFill="1" applyAlignment="1" applyProtection="1">
      <alignment vertical="center" shrinkToFit="1"/>
      <protection hidden="1"/>
    </xf>
    <xf numFmtId="0" fontId="47" fillId="0" borderId="0" xfId="43" applyFont="1" applyProtection="1">
      <alignment vertical="center"/>
      <protection hidden="1"/>
    </xf>
    <xf numFmtId="0" fontId="49" fillId="0" borderId="0" xfId="43" applyFont="1" applyAlignment="1" applyProtection="1">
      <alignment vertical="center" shrinkToFit="1"/>
      <protection hidden="1"/>
    </xf>
    <xf numFmtId="0" fontId="49" fillId="0" borderId="0" xfId="0" applyFont="1" applyAlignment="1" applyProtection="1">
      <alignment vertical="center" shrinkToFit="1"/>
      <protection hidden="1"/>
    </xf>
    <xf numFmtId="0" fontId="28" fillId="0" borderId="24" xfId="43" applyFont="1" applyBorder="1" applyAlignment="1" applyProtection="1">
      <alignment vertical="center" shrinkToFit="1"/>
      <protection hidden="1"/>
    </xf>
    <xf numFmtId="0" fontId="28" fillId="0" borderId="0" xfId="0" applyFont="1" applyAlignment="1" applyProtection="1">
      <alignment vertical="center" shrinkToFit="1"/>
      <protection hidden="1"/>
    </xf>
    <xf numFmtId="0" fontId="36" fillId="34" borderId="66" xfId="43" applyFont="1" applyFill="1" applyBorder="1" applyAlignment="1" applyProtection="1">
      <alignment horizontal="center" vertical="center"/>
      <protection hidden="1"/>
    </xf>
    <xf numFmtId="180" fontId="36" fillId="34" borderId="124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64" xfId="43" applyNumberFormat="1" applyFont="1" applyFill="1" applyBorder="1" applyAlignment="1" applyProtection="1">
      <alignment horizontal="center" vertical="center"/>
      <protection hidden="1"/>
    </xf>
    <xf numFmtId="180" fontId="36" fillId="34" borderId="123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64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124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64" xfId="43" applyNumberFormat="1" applyFont="1" applyFill="1" applyBorder="1" applyAlignment="1" applyProtection="1">
      <alignment horizontal="center" vertical="center"/>
      <protection hidden="1"/>
    </xf>
    <xf numFmtId="180" fontId="36" fillId="35" borderId="123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64" xfId="43" applyNumberFormat="1" applyFont="1" applyFill="1" applyBorder="1" applyAlignment="1" applyProtection="1">
      <alignment horizontal="center" vertical="center" shrinkToFit="1"/>
      <protection hidden="1"/>
    </xf>
    <xf numFmtId="0" fontId="36" fillId="34" borderId="25" xfId="43" applyFont="1" applyFill="1" applyBorder="1" applyAlignment="1" applyProtection="1">
      <alignment horizontal="center" vertical="center"/>
      <protection hidden="1"/>
    </xf>
    <xf numFmtId="180" fontId="36" fillId="35" borderId="79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26" xfId="43" applyNumberFormat="1" applyFont="1" applyFill="1" applyBorder="1" applyAlignment="1" applyProtection="1">
      <alignment horizontal="center" vertical="center"/>
      <protection hidden="1"/>
    </xf>
    <xf numFmtId="180" fontId="36" fillId="35" borderId="87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26" xfId="43" applyNumberFormat="1" applyFont="1" applyFill="1" applyBorder="1" applyAlignment="1" applyProtection="1">
      <alignment horizontal="center" vertical="center" shrinkToFit="1"/>
      <protection hidden="1"/>
    </xf>
    <xf numFmtId="181" fontId="36" fillId="34" borderId="71" xfId="43" applyNumberFormat="1" applyFont="1" applyFill="1" applyBorder="1" applyAlignment="1" applyProtection="1">
      <alignment horizontal="center" vertical="center" shrinkToFit="1"/>
      <protection hidden="1"/>
    </xf>
    <xf numFmtId="176" fontId="36" fillId="34" borderId="72" xfId="43" applyNumberFormat="1" applyFont="1" applyFill="1" applyBorder="1" applyAlignment="1" applyProtection="1">
      <alignment horizontal="center" vertical="center"/>
      <protection hidden="1"/>
    </xf>
    <xf numFmtId="0" fontId="36" fillId="34" borderId="125" xfId="43" applyFont="1" applyFill="1" applyBorder="1" applyAlignment="1" applyProtection="1">
      <alignment horizontal="center" vertical="center"/>
      <protection hidden="1"/>
    </xf>
    <xf numFmtId="180" fontId="36" fillId="34" borderId="126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127" xfId="43" applyNumberFormat="1" applyFont="1" applyFill="1" applyBorder="1" applyAlignment="1" applyProtection="1">
      <alignment horizontal="center" vertical="center"/>
      <protection hidden="1"/>
    </xf>
    <xf numFmtId="180" fontId="36" fillId="34" borderId="128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127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3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4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5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6" xfId="43" applyNumberFormat="1" applyFont="1" applyFill="1" applyBorder="1" applyAlignment="1" applyProtection="1">
      <alignment horizontal="center" vertical="center" shrinkToFit="1"/>
      <protection hidden="1"/>
    </xf>
    <xf numFmtId="185" fontId="52" fillId="0" borderId="0" xfId="43" applyNumberFormat="1" applyFont="1" applyProtection="1">
      <alignment vertical="center"/>
      <protection locked="0"/>
    </xf>
    <xf numFmtId="0" fontId="37" fillId="36" borderId="132" xfId="43" applyFont="1" applyFill="1" applyBorder="1" applyAlignment="1" applyProtection="1">
      <alignment horizontal="center" vertical="center" shrinkToFit="1"/>
      <protection hidden="1"/>
    </xf>
    <xf numFmtId="0" fontId="36" fillId="34" borderId="44" xfId="43" applyFont="1" applyFill="1" applyBorder="1" applyAlignment="1" applyProtection="1">
      <alignment horizontal="center" vertical="center"/>
      <protection hidden="1"/>
    </xf>
    <xf numFmtId="180" fontId="36" fillId="34" borderId="84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45" xfId="43" applyNumberFormat="1" applyFont="1" applyFill="1" applyBorder="1" applyAlignment="1" applyProtection="1">
      <alignment horizontal="center" vertical="center"/>
      <protection hidden="1"/>
    </xf>
    <xf numFmtId="180" fontId="36" fillId="34" borderId="86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45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44" xfId="43" applyNumberFormat="1" applyFont="1" applyFill="1" applyBorder="1" applyAlignment="1" applyProtection="1">
      <alignment horizontal="center" vertical="center" shrinkToFit="1"/>
      <protection hidden="1"/>
    </xf>
    <xf numFmtId="0" fontId="54" fillId="33" borderId="0" xfId="41" applyFont="1" applyFill="1" applyAlignment="1" applyProtection="1">
      <alignment vertical="top"/>
      <protection hidden="1"/>
    </xf>
    <xf numFmtId="0" fontId="54" fillId="33" borderId="0" xfId="41" applyFont="1" applyFill="1" applyAlignment="1" applyProtection="1">
      <alignment horizontal="center" vertical="center"/>
      <protection hidden="1"/>
    </xf>
    <xf numFmtId="0" fontId="42" fillId="0" borderId="0" xfId="4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4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 textRotation="255" wrapText="1"/>
      <protection hidden="1"/>
    </xf>
    <xf numFmtId="0" fontId="53" fillId="0" borderId="0" xfId="41" applyFont="1" applyProtection="1">
      <alignment vertical="center"/>
      <protection hidden="1"/>
    </xf>
    <xf numFmtId="0" fontId="54" fillId="0" borderId="0" xfId="41" applyFont="1" applyAlignment="1" applyProtection="1">
      <alignment horizontal="center" vertical="center"/>
      <protection hidden="1"/>
    </xf>
    <xf numFmtId="0" fontId="55" fillId="0" borderId="0" xfId="41" applyFont="1" applyProtection="1">
      <alignment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42" fillId="0" borderId="0" xfId="41" applyFont="1" applyProtection="1">
      <alignment vertical="center"/>
      <protection hidden="1"/>
    </xf>
    <xf numFmtId="0" fontId="56" fillId="0" borderId="0" xfId="41" applyFo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33" fillId="0" borderId="25" xfId="41" applyFont="1" applyBorder="1" applyAlignment="1" applyProtection="1">
      <alignment horizontal="center" vertical="center" shrinkToFit="1"/>
      <protection locked="0"/>
    </xf>
    <xf numFmtId="0" fontId="33" fillId="0" borderId="27" xfId="41" applyFont="1" applyBorder="1" applyAlignment="1" applyProtection="1">
      <alignment horizontal="center" vertical="center" shrinkToFit="1"/>
      <protection locked="0"/>
    </xf>
    <xf numFmtId="0" fontId="28" fillId="0" borderId="10" xfId="43" applyFont="1" applyBorder="1" applyAlignment="1" applyProtection="1">
      <alignment vertical="center" shrinkToFit="1"/>
      <protection hidden="1"/>
    </xf>
    <xf numFmtId="0" fontId="44" fillId="34" borderId="0" xfId="0" applyFont="1" applyFill="1" applyAlignment="1">
      <alignment horizontal="center" vertical="center"/>
    </xf>
    <xf numFmtId="0" fontId="44" fillId="31" borderId="0" xfId="0" applyFont="1" applyFill="1" applyAlignment="1">
      <alignment horizontal="center" vertical="center"/>
    </xf>
    <xf numFmtId="180" fontId="59" fillId="0" borderId="124" xfId="43" applyNumberFormat="1" applyFont="1" applyBorder="1" applyAlignment="1" applyProtection="1">
      <alignment horizontal="center" vertical="top" shrinkToFit="1"/>
      <protection hidden="1"/>
    </xf>
    <xf numFmtId="180" fontId="59" fillId="0" borderId="64" xfId="43" applyNumberFormat="1" applyFont="1" applyBorder="1" applyAlignment="1" applyProtection="1">
      <alignment horizontal="center" vertical="top"/>
      <protection hidden="1"/>
    </xf>
    <xf numFmtId="180" fontId="59" fillId="0" borderId="123" xfId="43" applyNumberFormat="1" applyFont="1" applyBorder="1" applyAlignment="1" applyProtection="1">
      <alignment horizontal="center" vertical="top" shrinkToFit="1"/>
      <protection hidden="1"/>
    </xf>
    <xf numFmtId="0" fontId="53" fillId="32" borderId="0" xfId="4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4" fillId="33" borderId="0" xfId="41" applyFont="1" applyFill="1" applyAlignment="1" applyProtection="1">
      <alignment horizontal="left" vertical="top" indent="1" shrinkToFit="1"/>
      <protection hidden="1"/>
    </xf>
    <xf numFmtId="0" fontId="50" fillId="33" borderId="0" xfId="0" applyFont="1" applyFill="1" applyAlignment="1">
      <alignment horizontal="left" vertical="top" indent="1" shrinkToFit="1"/>
    </xf>
    <xf numFmtId="0" fontId="54" fillId="33" borderId="0" xfId="41" applyFont="1" applyFill="1" applyAlignment="1" applyProtection="1">
      <alignment vertical="top" shrinkToFit="1"/>
      <protection hidden="1"/>
    </xf>
    <xf numFmtId="0" fontId="0" fillId="0" borderId="0" xfId="0" applyAlignment="1">
      <alignment vertical="center" shrinkToFit="1"/>
    </xf>
    <xf numFmtId="0" fontId="33" fillId="34" borderId="10" xfId="41" applyFont="1" applyFill="1" applyBorder="1" applyAlignment="1" applyProtection="1">
      <alignment horizontal="center" vertical="center" textRotation="255" shrinkToFit="1"/>
      <protection hidden="1"/>
    </xf>
    <xf numFmtId="0" fontId="33" fillId="34" borderId="88" xfId="41" applyFont="1" applyFill="1" applyBorder="1" applyAlignment="1" applyProtection="1">
      <alignment horizontal="center" vertical="center" textRotation="255" shrinkToFit="1"/>
      <protection hidden="1"/>
    </xf>
    <xf numFmtId="0" fontId="31" fillId="36" borderId="70" xfId="0" applyFont="1" applyFill="1" applyBorder="1" applyAlignment="1" applyProtection="1">
      <alignment vertical="center" textRotation="255" wrapText="1"/>
      <protection hidden="1"/>
    </xf>
    <xf numFmtId="0" fontId="57" fillId="36" borderId="137" xfId="0" applyFont="1" applyFill="1" applyBorder="1" applyAlignment="1">
      <alignment vertical="center" textRotation="255" wrapText="1"/>
    </xf>
    <xf numFmtId="0" fontId="57" fillId="36" borderId="67" xfId="0" applyFont="1" applyFill="1" applyBorder="1" applyAlignment="1">
      <alignment vertical="center" textRotation="255" wrapText="1"/>
    </xf>
    <xf numFmtId="0" fontId="34" fillId="0" borderId="0" xfId="41" applyFont="1" applyAlignment="1" applyProtection="1">
      <alignment horizontal="left" vertical="center"/>
      <protection hidden="1"/>
    </xf>
    <xf numFmtId="0" fontId="34" fillId="0" borderId="0" xfId="41" applyFont="1" applyAlignment="1" applyProtection="1">
      <alignment horizontal="right" vertical="center"/>
      <protection hidden="1"/>
    </xf>
    <xf numFmtId="183" fontId="32" fillId="36" borderId="28" xfId="41" applyNumberFormat="1" applyFont="1" applyFill="1" applyBorder="1" applyAlignment="1" applyProtection="1">
      <alignment horizontal="center" vertical="center" wrapText="1"/>
      <protection hidden="1"/>
    </xf>
    <xf numFmtId="183" fontId="32" fillId="36" borderId="20" xfId="41" applyNumberFormat="1" applyFont="1" applyFill="1" applyBorder="1" applyAlignment="1" applyProtection="1">
      <alignment horizontal="center" vertical="center"/>
      <protection hidden="1"/>
    </xf>
    <xf numFmtId="183" fontId="32" fillId="36" borderId="89" xfId="41" applyNumberFormat="1" applyFont="1" applyFill="1" applyBorder="1" applyAlignment="1" applyProtection="1">
      <alignment horizontal="center" vertical="center"/>
      <protection hidden="1"/>
    </xf>
    <xf numFmtId="183" fontId="32" fillId="36" borderId="25" xfId="41" applyNumberFormat="1" applyFont="1" applyFill="1" applyBorder="1" applyAlignment="1" applyProtection="1">
      <alignment horizontal="center" vertical="center"/>
      <protection hidden="1"/>
    </xf>
    <xf numFmtId="183" fontId="32" fillId="36" borderId="26" xfId="41" applyNumberFormat="1" applyFont="1" applyFill="1" applyBorder="1" applyAlignment="1" applyProtection="1">
      <alignment horizontal="center" vertical="center"/>
      <protection hidden="1"/>
    </xf>
    <xf numFmtId="183" fontId="32" fillId="36" borderId="27" xfId="41" applyNumberFormat="1" applyFont="1" applyFill="1" applyBorder="1" applyAlignment="1" applyProtection="1">
      <alignment horizontal="center" vertical="center"/>
      <protection hidden="1"/>
    </xf>
    <xf numFmtId="0" fontId="34" fillId="36" borderId="65" xfId="41" applyFont="1" applyFill="1" applyBorder="1" applyAlignment="1" applyProtection="1">
      <alignment horizontal="center" vertical="center" wrapText="1"/>
      <protection hidden="1"/>
    </xf>
    <xf numFmtId="0" fontId="34" fillId="36" borderId="23" xfId="41" applyFont="1" applyFill="1" applyBorder="1" applyAlignment="1" applyProtection="1">
      <alignment horizontal="center" vertical="center" wrapText="1"/>
      <protection hidden="1"/>
    </xf>
    <xf numFmtId="0" fontId="34" fillId="36" borderId="10" xfId="41" applyFont="1" applyFill="1" applyBorder="1" applyAlignment="1" applyProtection="1">
      <alignment horizontal="center" vertical="center" wrapText="1"/>
      <protection hidden="1"/>
    </xf>
    <xf numFmtId="0" fontId="34" fillId="36" borderId="88" xfId="41" applyFont="1" applyFill="1" applyBorder="1" applyAlignment="1" applyProtection="1">
      <alignment horizontal="center" vertical="center" wrapText="1"/>
      <protection hidden="1"/>
    </xf>
    <xf numFmtId="0" fontId="33" fillId="36" borderId="28" xfId="41" applyFont="1" applyFill="1" applyBorder="1" applyAlignment="1" applyProtection="1">
      <alignment horizontal="center" vertical="center"/>
      <protection hidden="1"/>
    </xf>
    <xf numFmtId="0" fontId="33" fillId="36" borderId="20" xfId="41" applyFont="1" applyFill="1" applyBorder="1" applyAlignment="1" applyProtection="1">
      <alignment horizontal="center" vertical="center"/>
      <protection hidden="1"/>
    </xf>
    <xf numFmtId="0" fontId="33" fillId="36" borderId="89" xfId="41" applyFont="1" applyFill="1" applyBorder="1" applyAlignment="1" applyProtection="1">
      <alignment horizontal="center" vertical="center"/>
      <protection hidden="1"/>
    </xf>
    <xf numFmtId="0" fontId="33" fillId="36" borderId="99" xfId="41" applyFont="1" applyFill="1" applyBorder="1" applyAlignment="1" applyProtection="1">
      <alignment horizontal="center" vertical="center"/>
      <protection hidden="1"/>
    </xf>
    <xf numFmtId="0" fontId="33" fillId="36" borderId="100" xfId="41" applyFont="1" applyFill="1" applyBorder="1" applyAlignment="1" applyProtection="1">
      <alignment horizontal="center" vertical="center"/>
      <protection hidden="1"/>
    </xf>
    <xf numFmtId="0" fontId="33" fillId="36" borderId="101" xfId="41" applyFont="1" applyFill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33" fillId="0" borderId="89" xfId="0" applyFont="1" applyBorder="1" applyAlignment="1" applyProtection="1">
      <alignment horizontal="center" vertical="center"/>
      <protection hidden="1"/>
    </xf>
    <xf numFmtId="0" fontId="33" fillId="0" borderId="83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28" fillId="34" borderId="28" xfId="41" applyFont="1" applyFill="1" applyBorder="1" applyAlignment="1" applyProtection="1">
      <alignment horizontal="center" vertical="center" shrinkToFit="1"/>
      <protection hidden="1"/>
    </xf>
    <xf numFmtId="0" fontId="28" fillId="34" borderId="20" xfId="41" applyFont="1" applyFill="1" applyBorder="1" applyAlignment="1" applyProtection="1">
      <alignment horizontal="center" vertical="center" shrinkToFit="1"/>
      <protection hidden="1"/>
    </xf>
    <xf numFmtId="0" fontId="28" fillId="34" borderId="138" xfId="41" applyFont="1" applyFill="1" applyBorder="1" applyAlignment="1" applyProtection="1">
      <alignment horizontal="center" vertical="center" shrinkToFit="1"/>
      <protection hidden="1"/>
    </xf>
    <xf numFmtId="0" fontId="28" fillId="34" borderId="24" xfId="41" applyFont="1" applyFill="1" applyBorder="1" applyAlignment="1" applyProtection="1">
      <alignment horizontal="center" vertical="center" shrinkToFit="1"/>
      <protection hidden="1"/>
    </xf>
    <xf numFmtId="0" fontId="28" fillId="34" borderId="0" xfId="41" applyFont="1" applyFill="1" applyAlignment="1" applyProtection="1">
      <alignment horizontal="center" vertical="center" shrinkToFit="1"/>
      <protection hidden="1"/>
    </xf>
    <xf numFmtId="0" fontId="28" fillId="34" borderId="139" xfId="41" applyFont="1" applyFill="1" applyBorder="1" applyAlignment="1" applyProtection="1">
      <alignment horizontal="center" vertical="center" shrinkToFit="1"/>
      <protection hidden="1"/>
    </xf>
    <xf numFmtId="0" fontId="28" fillId="34" borderId="25" xfId="41" applyFont="1" applyFill="1" applyBorder="1" applyAlignment="1" applyProtection="1">
      <alignment horizontal="center" vertical="center" shrinkToFit="1"/>
      <protection hidden="1"/>
    </xf>
    <xf numFmtId="0" fontId="28" fillId="34" borderId="26" xfId="41" applyFont="1" applyFill="1" applyBorder="1" applyAlignment="1" applyProtection="1">
      <alignment horizontal="center" vertical="center" shrinkToFit="1"/>
      <protection hidden="1"/>
    </xf>
    <xf numFmtId="0" fontId="28" fillId="34" borderId="87" xfId="41" applyFont="1" applyFill="1" applyBorder="1" applyAlignment="1" applyProtection="1">
      <alignment horizontal="center" vertical="center" shrinkToFit="1"/>
      <protection hidden="1"/>
    </xf>
    <xf numFmtId="0" fontId="40" fillId="0" borderId="24" xfId="41" applyFont="1" applyBorder="1" applyAlignment="1" applyProtection="1">
      <alignment horizontal="center" vertical="center" shrinkToFit="1"/>
      <protection locked="0"/>
    </xf>
    <xf numFmtId="0" fontId="40" fillId="0" borderId="0" xfId="41" applyFont="1" applyAlignment="1" applyProtection="1">
      <alignment horizontal="center" vertical="center" shrinkToFit="1"/>
      <protection locked="0"/>
    </xf>
    <xf numFmtId="0" fontId="40" fillId="0" borderId="83" xfId="41" applyFont="1" applyBorder="1" applyAlignment="1" applyProtection="1">
      <alignment horizontal="center" vertical="center" shrinkToFit="1"/>
      <protection locked="0"/>
    </xf>
    <xf numFmtId="0" fontId="33" fillId="28" borderId="90" xfId="41" applyFont="1" applyFill="1" applyBorder="1" applyAlignment="1" applyProtection="1">
      <alignment horizontal="center" vertical="center" shrinkToFit="1"/>
      <protection hidden="1"/>
    </xf>
    <xf numFmtId="0" fontId="33" fillId="28" borderId="91" xfId="41" applyFont="1" applyFill="1" applyBorder="1" applyAlignment="1" applyProtection="1">
      <alignment horizontal="center" vertical="center" shrinkToFit="1"/>
      <protection hidden="1"/>
    </xf>
    <xf numFmtId="0" fontId="33" fillId="28" borderId="92" xfId="41" applyFont="1" applyFill="1" applyBorder="1" applyAlignment="1" applyProtection="1">
      <alignment horizontal="center" vertical="center" shrinkToFit="1"/>
      <protection hidden="1"/>
    </xf>
    <xf numFmtId="0" fontId="33" fillId="28" borderId="93" xfId="41" applyFont="1" applyFill="1" applyBorder="1" applyAlignment="1" applyProtection="1">
      <alignment horizontal="center" vertical="center" shrinkToFit="1"/>
      <protection hidden="1"/>
    </xf>
    <xf numFmtId="0" fontId="33" fillId="28" borderId="94" xfId="41" applyFont="1" applyFill="1" applyBorder="1" applyAlignment="1" applyProtection="1">
      <alignment horizontal="center" vertical="center" shrinkToFit="1"/>
      <protection hidden="1"/>
    </xf>
    <xf numFmtId="0" fontId="33" fillId="28" borderId="95" xfId="41" applyFont="1" applyFill="1" applyBorder="1" applyAlignment="1" applyProtection="1">
      <alignment horizontal="center" vertical="center" shrinkToFit="1"/>
      <protection hidden="1"/>
    </xf>
    <xf numFmtId="0" fontId="33" fillId="28" borderId="96" xfId="41" applyFont="1" applyFill="1" applyBorder="1" applyAlignment="1" applyProtection="1">
      <alignment horizontal="center" vertical="center" shrinkToFit="1"/>
      <protection hidden="1"/>
    </xf>
    <xf numFmtId="0" fontId="33" fillId="28" borderId="97" xfId="41" applyFont="1" applyFill="1" applyBorder="1" applyAlignment="1" applyProtection="1">
      <alignment horizontal="center" vertical="center" shrinkToFit="1"/>
      <protection hidden="1"/>
    </xf>
    <xf numFmtId="0" fontId="33" fillId="28" borderId="98" xfId="41" applyFont="1" applyFill="1" applyBorder="1" applyAlignment="1" applyProtection="1">
      <alignment horizontal="center" vertical="center" shrinkToFit="1"/>
      <protection hidden="1"/>
    </xf>
    <xf numFmtId="0" fontId="33" fillId="24" borderId="0" xfId="0" applyFont="1" applyFill="1" applyAlignment="1" applyProtection="1">
      <alignment horizontal="center" vertical="center"/>
      <protection hidden="1"/>
    </xf>
    <xf numFmtId="0" fontId="33" fillId="0" borderId="0" xfId="0" applyFont="1" applyAlignment="1">
      <alignment horizontal="center" vertical="center"/>
    </xf>
    <xf numFmtId="0" fontId="33" fillId="24" borderId="83" xfId="0" applyFont="1" applyFill="1" applyBorder="1" applyAlignment="1" applyProtection="1">
      <alignment horizontal="center" vertical="center"/>
      <protection hidden="1"/>
    </xf>
    <xf numFmtId="0" fontId="28" fillId="0" borderId="140" xfId="41" applyFont="1" applyBorder="1" applyAlignment="1" applyProtection="1">
      <alignment horizontal="center" vertical="center" shrinkToFit="1"/>
      <protection hidden="1"/>
    </xf>
    <xf numFmtId="0" fontId="28" fillId="0" borderId="137" xfId="41" applyFont="1" applyBorder="1" applyAlignment="1" applyProtection="1">
      <alignment horizontal="center" vertical="center" shrinkToFit="1"/>
      <protection hidden="1"/>
    </xf>
    <xf numFmtId="0" fontId="28" fillId="0" borderId="10" xfId="41" applyFont="1" applyBorder="1" applyAlignment="1" applyProtection="1">
      <alignment horizontal="center" vertical="center" shrinkToFit="1"/>
      <protection hidden="1"/>
    </xf>
    <xf numFmtId="0" fontId="33" fillId="24" borderId="20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0" borderId="20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58" fillId="33" borderId="140" xfId="41" applyFont="1" applyFill="1" applyBorder="1" applyAlignment="1" applyProtection="1">
      <alignment horizontal="center" vertical="center" shrinkToFit="1"/>
      <protection hidden="1"/>
    </xf>
    <xf numFmtId="0" fontId="58" fillId="33" borderId="137" xfId="41" applyFont="1" applyFill="1" applyBorder="1" applyAlignment="1" applyProtection="1">
      <alignment horizontal="center" vertical="center" shrinkToFit="1"/>
      <protection hidden="1"/>
    </xf>
    <xf numFmtId="0" fontId="33" fillId="34" borderId="141" xfId="41" applyFont="1" applyFill="1" applyBorder="1" applyAlignment="1" applyProtection="1">
      <alignment horizontal="center" vertical="center" shrinkToFit="1"/>
      <protection hidden="1"/>
    </xf>
    <xf numFmtId="0" fontId="33" fillId="34" borderId="142" xfId="41" applyFont="1" applyFill="1" applyBorder="1" applyAlignment="1" applyProtection="1">
      <alignment horizontal="center" vertical="center" shrinkToFit="1"/>
      <protection hidden="1"/>
    </xf>
    <xf numFmtId="0" fontId="33" fillId="34" borderId="143" xfId="41" applyFont="1" applyFill="1" applyBorder="1" applyAlignment="1" applyProtection="1">
      <alignment horizontal="center" vertical="center" shrinkToFit="1"/>
      <protection hidden="1"/>
    </xf>
    <xf numFmtId="0" fontId="33" fillId="34" borderId="24" xfId="41" applyFont="1" applyFill="1" applyBorder="1" applyAlignment="1" applyProtection="1">
      <alignment horizontal="center" vertical="center" shrinkToFit="1"/>
      <protection hidden="1"/>
    </xf>
    <xf numFmtId="0" fontId="33" fillId="34" borderId="0" xfId="41" applyFont="1" applyFill="1" applyAlignment="1" applyProtection="1">
      <alignment horizontal="center" vertical="center" shrinkToFit="1"/>
      <protection hidden="1"/>
    </xf>
    <xf numFmtId="0" fontId="33" fillId="34" borderId="83" xfId="41" applyFont="1" applyFill="1" applyBorder="1" applyAlignment="1" applyProtection="1">
      <alignment horizontal="center" vertical="center" shrinkToFit="1"/>
      <protection hidden="1"/>
    </xf>
    <xf numFmtId="0" fontId="47" fillId="32" borderId="140" xfId="0" applyFont="1" applyFill="1" applyBorder="1" applyAlignment="1" applyProtection="1">
      <alignment horizontal="center" vertical="center" shrinkToFit="1"/>
      <protection hidden="1"/>
    </xf>
    <xf numFmtId="0" fontId="47" fillId="32" borderId="137" xfId="0" applyFont="1" applyFill="1" applyBorder="1" applyAlignment="1" applyProtection="1">
      <alignment horizontal="center" vertical="center" shrinkToFit="1"/>
      <protection hidden="1"/>
    </xf>
    <xf numFmtId="0" fontId="33" fillId="0" borderId="0" xfId="41" applyFont="1" applyAlignment="1" applyProtection="1">
      <alignment horizontal="center" vertical="center"/>
      <protection hidden="1"/>
    </xf>
    <xf numFmtId="0" fontId="33" fillId="24" borderId="89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58" fillId="33" borderId="10" xfId="41" applyFont="1" applyFill="1" applyBorder="1" applyAlignment="1" applyProtection="1">
      <alignment horizontal="center" vertical="center" shrinkToFit="1"/>
      <protection hidden="1"/>
    </xf>
    <xf numFmtId="0" fontId="33" fillId="34" borderId="10" xfId="41" applyFont="1" applyFill="1" applyBorder="1" applyAlignment="1" applyProtection="1">
      <alignment horizontal="center" vertical="center" shrinkToFit="1"/>
      <protection hidden="1"/>
    </xf>
    <xf numFmtId="0" fontId="47" fillId="32" borderId="10" xfId="0" applyFont="1" applyFill="1" applyBorder="1" applyAlignment="1" applyProtection="1">
      <alignment horizontal="center" vertical="center" shrinkToFit="1"/>
      <protection hidden="1"/>
    </xf>
    <xf numFmtId="0" fontId="28" fillId="0" borderId="68" xfId="41" applyFont="1" applyBorder="1" applyAlignment="1" applyProtection="1">
      <alignment horizontal="center" vertical="center" shrinkToFit="1"/>
      <protection hidden="1"/>
    </xf>
    <xf numFmtId="0" fontId="40" fillId="0" borderId="78" xfId="41" applyFont="1" applyBorder="1" applyAlignment="1" applyProtection="1">
      <alignment horizontal="center" vertical="center" shrinkToFit="1"/>
      <protection hidden="1"/>
    </xf>
    <xf numFmtId="0" fontId="40" fillId="0" borderId="20" xfId="41" applyFont="1" applyBorder="1" applyAlignment="1" applyProtection="1">
      <alignment horizontal="center" vertical="center" shrinkToFit="1"/>
      <protection hidden="1"/>
    </xf>
    <xf numFmtId="0" fontId="40" fillId="0" borderId="89" xfId="41" applyFont="1" applyBorder="1" applyAlignment="1" applyProtection="1">
      <alignment horizontal="center" vertical="center" shrinkToFit="1"/>
      <protection hidden="1"/>
    </xf>
    <xf numFmtId="0" fontId="40" fillId="0" borderId="77" xfId="41" applyFont="1" applyBorder="1" applyAlignment="1" applyProtection="1">
      <alignment horizontal="center" vertical="center" shrinkToFit="1"/>
      <protection hidden="1"/>
    </xf>
    <xf numFmtId="0" fontId="40" fillId="0" borderId="0" xfId="41" applyFont="1" applyAlignment="1" applyProtection="1">
      <alignment horizontal="center" vertical="center" shrinkToFit="1"/>
      <protection hidden="1"/>
    </xf>
    <xf numFmtId="0" fontId="40" fillId="0" borderId="83" xfId="41" applyFont="1" applyBorder="1" applyAlignment="1" applyProtection="1">
      <alignment horizontal="center" vertical="center" shrinkToFit="1"/>
      <protection hidden="1"/>
    </xf>
    <xf numFmtId="0" fontId="40" fillId="0" borderId="28" xfId="41" applyFont="1" applyBorder="1" applyAlignment="1" applyProtection="1">
      <alignment horizontal="center" vertical="center" shrinkToFit="1"/>
      <protection hidden="1"/>
    </xf>
    <xf numFmtId="0" fontId="40" fillId="0" borderId="24" xfId="41" applyFont="1" applyBorder="1" applyAlignment="1" applyProtection="1">
      <alignment horizontal="center" vertical="center" shrinkToFit="1"/>
      <protection hidden="1"/>
    </xf>
    <xf numFmtId="0" fontId="41" fillId="0" borderId="10" xfId="41" applyFont="1" applyBorder="1" applyAlignment="1" applyProtection="1">
      <alignment horizontal="center" vertical="center" shrinkToFit="1"/>
      <protection hidden="1"/>
    </xf>
    <xf numFmtId="0" fontId="41" fillId="0" borderId="140" xfId="41" applyFont="1" applyBorder="1" applyAlignment="1" applyProtection="1">
      <alignment horizontal="center" vertical="center" shrinkToFit="1"/>
      <protection hidden="1"/>
    </xf>
    <xf numFmtId="0" fontId="41" fillId="0" borderId="137" xfId="41" applyFont="1" applyBorder="1" applyAlignment="1" applyProtection="1">
      <alignment horizontal="center" vertical="center" shrinkToFit="1"/>
      <protection hidden="1"/>
    </xf>
    <xf numFmtId="0" fontId="33" fillId="0" borderId="141" xfId="41" applyFont="1" applyBorder="1" applyAlignment="1" applyProtection="1">
      <alignment horizontal="center" vertical="center" shrinkToFit="1"/>
      <protection hidden="1"/>
    </xf>
    <xf numFmtId="0" fontId="33" fillId="0" borderId="142" xfId="41" applyFont="1" applyBorder="1" applyAlignment="1" applyProtection="1">
      <alignment horizontal="center" vertical="center" shrinkToFit="1"/>
      <protection hidden="1"/>
    </xf>
    <xf numFmtId="0" fontId="33" fillId="0" borderId="143" xfId="41" applyFont="1" applyBorder="1" applyAlignment="1" applyProtection="1">
      <alignment horizontal="center" vertical="center" shrinkToFit="1"/>
      <protection hidden="1"/>
    </xf>
    <xf numFmtId="0" fontId="33" fillId="0" borderId="24" xfId="41" applyFont="1" applyBorder="1" applyAlignment="1" applyProtection="1">
      <alignment horizontal="center" vertical="center" shrinkToFit="1"/>
      <protection hidden="1"/>
    </xf>
    <xf numFmtId="0" fontId="33" fillId="0" borderId="0" xfId="41" applyFont="1" applyAlignment="1" applyProtection="1">
      <alignment horizontal="center" vertical="center" shrinkToFit="1"/>
      <protection hidden="1"/>
    </xf>
    <xf numFmtId="0" fontId="33" fillId="0" borderId="83" xfId="41" applyFont="1" applyBorder="1" applyAlignment="1" applyProtection="1">
      <alignment horizontal="center" vertical="center" shrinkToFit="1"/>
      <protection hidden="1"/>
    </xf>
    <xf numFmtId="0" fontId="30" fillId="0" borderId="10" xfId="0" applyFont="1" applyBorder="1" applyAlignment="1" applyProtection="1">
      <alignment horizontal="center" vertical="center" shrinkToFit="1"/>
      <protection hidden="1"/>
    </xf>
    <xf numFmtId="183" fontId="32" fillId="0" borderId="28" xfId="41" applyNumberFormat="1" applyFont="1" applyBorder="1" applyAlignment="1" applyProtection="1">
      <alignment horizontal="center" vertical="center" wrapText="1"/>
      <protection hidden="1"/>
    </xf>
    <xf numFmtId="183" fontId="32" fillId="0" borderId="20" xfId="41" applyNumberFormat="1" applyFont="1" applyBorder="1" applyAlignment="1" applyProtection="1">
      <alignment horizontal="center" vertical="center"/>
      <protection hidden="1"/>
    </xf>
    <xf numFmtId="183" fontId="32" fillId="0" borderId="89" xfId="41" applyNumberFormat="1" applyFont="1" applyBorder="1" applyAlignment="1" applyProtection="1">
      <alignment horizontal="center" vertical="center"/>
      <protection hidden="1"/>
    </xf>
    <xf numFmtId="183" fontId="32" fillId="0" borderId="25" xfId="41" applyNumberFormat="1" applyFont="1" applyBorder="1" applyAlignment="1" applyProtection="1">
      <alignment horizontal="center" vertical="center"/>
      <protection hidden="1"/>
    </xf>
    <xf numFmtId="183" fontId="32" fillId="0" borderId="26" xfId="41" applyNumberFormat="1" applyFont="1" applyBorder="1" applyAlignment="1" applyProtection="1">
      <alignment horizontal="center" vertical="center"/>
      <protection hidden="1"/>
    </xf>
    <xf numFmtId="183" fontId="32" fillId="0" borderId="27" xfId="41" applyNumberFormat="1" applyFont="1" applyBorder="1" applyAlignment="1" applyProtection="1">
      <alignment horizontal="center" vertical="center"/>
      <protection hidden="1"/>
    </xf>
    <xf numFmtId="0" fontId="33" fillId="0" borderId="10" xfId="41" applyFont="1" applyBorder="1" applyAlignment="1" applyProtection="1">
      <alignment horizontal="center" vertical="center" textRotation="255" shrinkToFit="1"/>
      <protection hidden="1"/>
    </xf>
    <xf numFmtId="0" fontId="33" fillId="0" borderId="88" xfId="41" applyFont="1" applyBorder="1" applyAlignment="1" applyProtection="1">
      <alignment horizontal="center" vertical="center" textRotation="255" shrinkToFit="1"/>
      <protection hidden="1"/>
    </xf>
    <xf numFmtId="0" fontId="28" fillId="0" borderId="28" xfId="41" applyFont="1" applyBorder="1" applyAlignment="1" applyProtection="1">
      <alignment horizontal="center" vertical="center" shrinkToFit="1"/>
      <protection hidden="1"/>
    </xf>
    <xf numFmtId="0" fontId="28" fillId="0" borderId="20" xfId="41" applyFont="1" applyBorder="1" applyAlignment="1" applyProtection="1">
      <alignment horizontal="center" vertical="center" shrinkToFit="1"/>
      <protection hidden="1"/>
    </xf>
    <xf numFmtId="0" fontId="28" fillId="0" borderId="138" xfId="41" applyFont="1" applyBorder="1" applyAlignment="1" applyProtection="1">
      <alignment horizontal="center" vertical="center" shrinkToFit="1"/>
      <protection hidden="1"/>
    </xf>
    <xf numFmtId="0" fontId="28" fillId="0" borderId="24" xfId="41" applyFont="1" applyBorder="1" applyAlignment="1" applyProtection="1">
      <alignment horizontal="center" vertical="center" shrinkToFit="1"/>
      <protection hidden="1"/>
    </xf>
    <xf numFmtId="0" fontId="28" fillId="0" borderId="0" xfId="41" applyFont="1" applyAlignment="1" applyProtection="1">
      <alignment horizontal="center" vertical="center" shrinkToFit="1"/>
      <protection hidden="1"/>
    </xf>
    <xf numFmtId="0" fontId="28" fillId="0" borderId="139" xfId="41" applyFont="1" applyBorder="1" applyAlignment="1" applyProtection="1">
      <alignment horizontal="center" vertical="center" shrinkToFit="1"/>
      <protection hidden="1"/>
    </xf>
    <xf numFmtId="0" fontId="28" fillId="0" borderId="25" xfId="41" applyFont="1" applyBorder="1" applyAlignment="1" applyProtection="1">
      <alignment horizontal="center" vertical="center" shrinkToFit="1"/>
      <protection hidden="1"/>
    </xf>
    <xf numFmtId="0" fontId="28" fillId="0" borderId="26" xfId="41" applyFont="1" applyBorder="1" applyAlignment="1" applyProtection="1">
      <alignment horizontal="center" vertical="center" shrinkToFit="1"/>
      <protection hidden="1"/>
    </xf>
    <xf numFmtId="0" fontId="28" fillId="0" borderId="87" xfId="41" applyFont="1" applyBorder="1" applyAlignment="1" applyProtection="1">
      <alignment horizontal="center" vertical="center" shrinkToFit="1"/>
      <protection hidden="1"/>
    </xf>
    <xf numFmtId="0" fontId="34" fillId="0" borderId="65" xfId="41" applyFont="1" applyBorder="1" applyAlignment="1" applyProtection="1">
      <alignment horizontal="center" vertical="center" wrapText="1"/>
      <protection hidden="1"/>
    </xf>
    <xf numFmtId="0" fontId="34" fillId="0" borderId="23" xfId="41" applyFont="1" applyBorder="1" applyAlignment="1" applyProtection="1">
      <alignment horizontal="center" vertical="center" wrapText="1"/>
      <protection hidden="1"/>
    </xf>
    <xf numFmtId="0" fontId="34" fillId="0" borderId="10" xfId="41" applyFont="1" applyBorder="1" applyAlignment="1" applyProtection="1">
      <alignment horizontal="center" vertical="center" wrapText="1"/>
      <protection hidden="1"/>
    </xf>
    <xf numFmtId="0" fontId="34" fillId="0" borderId="88" xfId="41" applyFont="1" applyBorder="1" applyAlignment="1" applyProtection="1">
      <alignment horizontal="center" vertical="center" wrapText="1"/>
      <protection hidden="1"/>
    </xf>
    <xf numFmtId="0" fontId="33" fillId="0" borderId="28" xfId="41" applyFont="1" applyBorder="1" applyAlignment="1" applyProtection="1">
      <alignment horizontal="center" vertical="center"/>
      <protection hidden="1"/>
    </xf>
    <xf numFmtId="0" fontId="33" fillId="0" borderId="20" xfId="41" applyFont="1" applyBorder="1" applyAlignment="1" applyProtection="1">
      <alignment horizontal="center" vertical="center"/>
      <protection hidden="1"/>
    </xf>
    <xf numFmtId="0" fontId="33" fillId="0" borderId="89" xfId="41" applyFont="1" applyBorder="1" applyAlignment="1" applyProtection="1">
      <alignment horizontal="center" vertical="center"/>
      <protection hidden="1"/>
    </xf>
    <xf numFmtId="0" fontId="33" fillId="0" borderId="99" xfId="41" applyFont="1" applyBorder="1" applyAlignment="1" applyProtection="1">
      <alignment horizontal="center" vertical="center"/>
      <protection hidden="1"/>
    </xf>
    <xf numFmtId="0" fontId="33" fillId="0" borderId="100" xfId="41" applyFont="1" applyBorder="1" applyAlignment="1" applyProtection="1">
      <alignment horizontal="center" vertical="center"/>
      <protection hidden="1"/>
    </xf>
    <xf numFmtId="0" fontId="33" fillId="0" borderId="101" xfId="41" applyFont="1" applyBorder="1" applyAlignment="1" applyProtection="1">
      <alignment horizontal="center" vertical="center"/>
      <protection hidden="1"/>
    </xf>
    <xf numFmtId="0" fontId="33" fillId="0" borderId="10" xfId="41" applyFont="1" applyBorder="1" applyAlignment="1" applyProtection="1">
      <alignment horizontal="center" vertical="center" shrinkToFit="1"/>
      <protection hidden="1"/>
    </xf>
    <xf numFmtId="0" fontId="42" fillId="0" borderId="0" xfId="41" applyFont="1" applyAlignment="1" applyProtection="1">
      <alignment horizontal="center" vertical="center"/>
      <protection hidden="1"/>
    </xf>
    <xf numFmtId="0" fontId="30" fillId="0" borderId="140" xfId="0" applyFont="1" applyBorder="1" applyAlignment="1" applyProtection="1">
      <alignment horizontal="center" vertical="center" shrinkToFit="1"/>
      <protection hidden="1"/>
    </xf>
    <xf numFmtId="0" fontId="30" fillId="0" borderId="137" xfId="0" applyFont="1" applyBorder="1" applyAlignment="1" applyProtection="1">
      <alignment horizontal="center" vertical="center" shrinkToFit="1"/>
      <protection hidden="1"/>
    </xf>
    <xf numFmtId="0" fontId="42" fillId="0" borderId="0" xfId="41" applyFont="1" applyAlignment="1" applyProtection="1">
      <alignment vertical="top" shrinkToFit="1"/>
      <protection hidden="1"/>
    </xf>
    <xf numFmtId="0" fontId="0" fillId="0" borderId="0" xfId="0" applyAlignment="1">
      <alignment vertical="top" shrinkToFit="1"/>
    </xf>
    <xf numFmtId="0" fontId="31" fillId="0" borderId="70" xfId="0" applyFont="1" applyBorder="1" applyAlignment="1" applyProtection="1">
      <alignment vertical="center" textRotation="255" wrapText="1"/>
      <protection hidden="1"/>
    </xf>
    <xf numFmtId="0" fontId="57" fillId="0" borderId="137" xfId="0" applyFont="1" applyBorder="1" applyAlignment="1">
      <alignment vertical="center" textRotation="255" wrapText="1"/>
    </xf>
    <xf numFmtId="0" fontId="57" fillId="0" borderId="67" xfId="0" applyFont="1" applyBorder="1" applyAlignment="1">
      <alignment vertical="center" textRotation="255" wrapText="1"/>
    </xf>
    <xf numFmtId="0" fontId="33" fillId="0" borderId="102" xfId="43" applyFont="1" applyBorder="1" applyAlignment="1">
      <alignment horizontal="center" vertical="center"/>
    </xf>
    <xf numFmtId="0" fontId="33" fillId="0" borderId="103" xfId="43" applyFont="1" applyBorder="1" applyAlignment="1">
      <alignment horizontal="center" vertical="center"/>
    </xf>
    <xf numFmtId="0" fontId="28" fillId="0" borderId="66" xfId="43" applyFont="1" applyBorder="1" applyAlignment="1" applyProtection="1">
      <alignment horizontal="center" vertical="center"/>
      <protection hidden="1"/>
    </xf>
    <xf numFmtId="0" fontId="28" fillId="0" borderId="65" xfId="43" applyFont="1" applyBorder="1" applyAlignment="1" applyProtection="1">
      <alignment horizontal="center" vertical="center"/>
      <protection hidden="1"/>
    </xf>
    <xf numFmtId="0" fontId="28" fillId="0" borderId="0" xfId="43" applyFont="1" applyAlignment="1" applyProtection="1">
      <alignment horizontal="center" vertical="center" shrinkToFit="1"/>
      <protection hidden="1"/>
    </xf>
    <xf numFmtId="0" fontId="31" fillId="0" borderId="0" xfId="43" applyFont="1" applyAlignment="1">
      <alignment horizontal="center" vertical="center"/>
    </xf>
    <xf numFmtId="0" fontId="33" fillId="0" borderId="104" xfId="43" applyFont="1" applyBorder="1" applyAlignment="1" applyProtection="1">
      <alignment horizontal="center" vertical="center"/>
      <protection hidden="1"/>
    </xf>
    <xf numFmtId="0" fontId="33" fillId="0" borderId="36" xfId="43" applyFont="1" applyBorder="1" applyAlignment="1" applyProtection="1">
      <alignment horizontal="center" vertical="center"/>
      <protection hidden="1"/>
    </xf>
    <xf numFmtId="0" fontId="33" fillId="0" borderId="36" xfId="43" applyFont="1" applyBorder="1" applyAlignment="1">
      <alignment horizontal="center" vertical="center"/>
    </xf>
    <xf numFmtId="0" fontId="29" fillId="0" borderId="47" xfId="42" applyFont="1" applyBorder="1" applyAlignment="1" applyProtection="1">
      <alignment horizontal="center" vertical="center" shrinkToFit="1"/>
      <protection hidden="1"/>
    </xf>
    <xf numFmtId="0" fontId="29" fillId="0" borderId="17" xfId="42" applyFont="1" applyBorder="1" applyAlignment="1" applyProtection="1">
      <alignment horizontal="center" vertical="center" shrinkToFit="1"/>
      <protection hidden="1"/>
    </xf>
    <xf numFmtId="178" fontId="33" fillId="0" borderId="26" xfId="42" applyNumberFormat="1" applyFont="1" applyBorder="1" applyAlignment="1" applyProtection="1">
      <alignment vertical="center" shrinkToFit="1"/>
      <protection hidden="1"/>
    </xf>
    <xf numFmtId="0" fontId="33" fillId="0" borderId="26" xfId="42" applyFont="1" applyBorder="1" applyAlignment="1" applyProtection="1">
      <alignment horizontal="right" vertical="center" shrinkToFit="1"/>
      <protection hidden="1"/>
    </xf>
    <xf numFmtId="0" fontId="29" fillId="0" borderId="26" xfId="0" applyFont="1" applyBorder="1" applyAlignment="1" applyProtection="1">
      <alignment horizontal="right" vertical="center" shrinkToFit="1"/>
      <protection hidden="1"/>
    </xf>
    <xf numFmtId="0" fontId="29" fillId="0" borderId="26" xfId="0" applyFont="1" applyBorder="1" applyAlignment="1" applyProtection="1">
      <alignment vertical="center" shrinkToFit="1"/>
      <protection hidden="1"/>
    </xf>
    <xf numFmtId="0" fontId="33" fillId="0" borderId="26" xfId="42" applyFont="1" applyBorder="1" applyAlignment="1" applyProtection="1">
      <alignment vertical="center" shrinkToFit="1"/>
      <protection hidden="1"/>
    </xf>
    <xf numFmtId="0" fontId="33" fillId="0" borderId="112" xfId="42" applyFont="1" applyBorder="1" applyAlignment="1" applyProtection="1">
      <alignment horizontal="center" vertical="center"/>
      <protection hidden="1"/>
    </xf>
    <xf numFmtId="0" fontId="33" fillId="0" borderId="53" xfId="42" applyFont="1" applyBorder="1" applyAlignment="1" applyProtection="1">
      <alignment horizontal="center" vertical="center"/>
      <protection hidden="1"/>
    </xf>
    <xf numFmtId="0" fontId="34" fillId="0" borderId="53" xfId="42" applyFont="1" applyBorder="1" applyAlignment="1" applyProtection="1">
      <alignment horizontal="center" vertical="center" textRotation="255" shrinkToFit="1"/>
      <protection hidden="1"/>
    </xf>
    <xf numFmtId="0" fontId="33" fillId="0" borderId="53" xfId="42" applyFont="1" applyBorder="1" applyAlignment="1" applyProtection="1">
      <alignment horizontal="center" vertical="center" textRotation="255" shrinkToFit="1"/>
      <protection hidden="1"/>
    </xf>
    <xf numFmtId="0" fontId="33" fillId="0" borderId="54" xfId="42" applyFont="1" applyBorder="1" applyAlignment="1" applyProtection="1">
      <alignment horizontal="center" vertical="center"/>
      <protection hidden="1"/>
    </xf>
    <xf numFmtId="0" fontId="34" fillId="0" borderId="53" xfId="42" applyFont="1" applyBorder="1" applyAlignment="1" applyProtection="1">
      <alignment horizontal="center" vertical="center"/>
      <protection hidden="1"/>
    </xf>
    <xf numFmtId="0" fontId="34" fillId="0" borderId="112" xfId="42" applyFont="1" applyBorder="1" applyAlignment="1" applyProtection="1">
      <alignment horizontal="center" vertical="center" textRotation="255" shrinkToFit="1"/>
      <protection hidden="1"/>
    </xf>
    <xf numFmtId="184" fontId="38" fillId="0" borderId="106" xfId="42" applyNumberFormat="1" applyFont="1" applyBorder="1" applyAlignment="1" applyProtection="1">
      <alignment horizontal="center" vertical="center" shrinkToFit="1"/>
      <protection hidden="1"/>
    </xf>
    <xf numFmtId="184" fontId="38" fillId="0" borderId="108" xfId="42" applyNumberFormat="1" applyFont="1" applyBorder="1" applyAlignment="1" applyProtection="1">
      <alignment horizontal="center" vertical="center" shrinkToFit="1"/>
      <protection hidden="1"/>
    </xf>
    <xf numFmtId="184" fontId="38" fillId="0" borderId="57" xfId="42" applyNumberFormat="1" applyFont="1" applyBorder="1" applyAlignment="1" applyProtection="1">
      <alignment horizontal="center" vertical="center" shrinkToFit="1"/>
      <protection hidden="1"/>
    </xf>
    <xf numFmtId="184" fontId="38" fillId="0" borderId="109" xfId="42" applyNumberFormat="1" applyFont="1" applyBorder="1" applyAlignment="1" applyProtection="1">
      <alignment horizontal="center" vertical="center" shrinkToFit="1"/>
      <protection hidden="1"/>
    </xf>
    <xf numFmtId="184" fontId="38" fillId="0" borderId="105" xfId="42" applyNumberFormat="1" applyFont="1" applyBorder="1" applyAlignment="1" applyProtection="1">
      <alignment horizontal="center" vertical="center" shrinkToFit="1"/>
      <protection hidden="1"/>
    </xf>
    <xf numFmtId="184" fontId="38" fillId="0" borderId="107" xfId="42" applyNumberFormat="1" applyFont="1" applyBorder="1" applyAlignment="1" applyProtection="1">
      <alignment horizontal="center" vertical="center" shrinkToFit="1"/>
      <protection hidden="1"/>
    </xf>
    <xf numFmtId="184" fontId="34" fillId="0" borderId="106" xfId="42" applyNumberFormat="1" applyFont="1" applyBorder="1" applyAlignment="1" applyProtection="1">
      <alignment horizontal="center" vertical="center"/>
      <protection hidden="1"/>
    </xf>
    <xf numFmtId="184" fontId="34" fillId="0" borderId="57" xfId="42" applyNumberFormat="1" applyFont="1" applyBorder="1" applyAlignment="1" applyProtection="1">
      <alignment horizontal="center" vertical="center"/>
      <protection hidden="1"/>
    </xf>
    <xf numFmtId="0" fontId="34" fillId="0" borderId="113" xfId="42" applyFont="1" applyBorder="1" applyAlignment="1" applyProtection="1">
      <alignment horizontal="center" vertical="center" textRotation="255" shrinkToFit="1"/>
      <protection hidden="1"/>
    </xf>
    <xf numFmtId="0" fontId="34" fillId="0" borderId="111" xfId="42" applyFont="1" applyBorder="1" applyAlignment="1" applyProtection="1">
      <alignment horizontal="center" vertical="center" textRotation="255" shrinkToFit="1"/>
      <protection hidden="1"/>
    </xf>
    <xf numFmtId="0" fontId="34" fillId="0" borderId="54" xfId="42" applyFont="1" applyBorder="1" applyAlignment="1" applyProtection="1">
      <alignment horizontal="center" vertical="center" textRotation="255" shrinkToFit="1"/>
      <protection hidden="1"/>
    </xf>
    <xf numFmtId="0" fontId="34" fillId="0" borderId="110" xfId="42" applyFont="1" applyBorder="1" applyAlignment="1" applyProtection="1">
      <alignment horizontal="center" vertical="center"/>
      <protection hidden="1"/>
    </xf>
    <xf numFmtId="0" fontId="29" fillId="0" borderId="66" xfId="42" applyFont="1" applyBorder="1" applyAlignment="1" applyProtection="1">
      <alignment horizontal="center" vertical="center"/>
      <protection hidden="1"/>
    </xf>
    <xf numFmtId="0" fontId="29" fillId="0" borderId="64" xfId="42" applyFont="1" applyBorder="1" applyAlignment="1" applyProtection="1">
      <alignment horizontal="center" vertical="center"/>
      <protection hidden="1"/>
    </xf>
    <xf numFmtId="0" fontId="29" fillId="0" borderId="65" xfId="42" applyFont="1" applyBorder="1" applyAlignment="1" applyProtection="1">
      <alignment horizontal="center" vertical="center"/>
      <protection hidden="1"/>
    </xf>
    <xf numFmtId="56" fontId="28" fillId="0" borderId="28" xfId="42" applyNumberFormat="1" applyFont="1" applyBorder="1" applyAlignment="1" applyProtection="1">
      <alignment horizontal="center" vertical="center" textRotation="255" shrinkToFit="1"/>
      <protection hidden="1"/>
    </xf>
    <xf numFmtId="0" fontId="28" fillId="0" borderId="89" xfId="42" applyFont="1" applyBorder="1" applyAlignment="1" applyProtection="1">
      <alignment horizontal="center" vertical="center" textRotation="255" shrinkToFit="1"/>
      <protection hidden="1"/>
    </xf>
    <xf numFmtId="0" fontId="28" fillId="0" borderId="24" xfId="42" applyFont="1" applyBorder="1" applyAlignment="1" applyProtection="1">
      <alignment horizontal="center" vertical="center" textRotation="255" shrinkToFit="1"/>
      <protection hidden="1"/>
    </xf>
    <xf numFmtId="0" fontId="28" fillId="0" borderId="83" xfId="42" applyFont="1" applyBorder="1" applyAlignment="1" applyProtection="1">
      <alignment horizontal="center" vertical="center" textRotation="255" shrinkToFit="1"/>
      <protection hidden="1"/>
    </xf>
    <xf numFmtId="0" fontId="28" fillId="0" borderId="25" xfId="42" applyFont="1" applyBorder="1" applyAlignment="1" applyProtection="1">
      <alignment horizontal="center" vertical="center" textRotation="255" shrinkToFit="1"/>
      <protection hidden="1"/>
    </xf>
    <xf numFmtId="0" fontId="28" fillId="0" borderId="27" xfId="42" applyFont="1" applyBorder="1" applyAlignment="1" applyProtection="1">
      <alignment horizontal="center" vertical="center" textRotation="255" shrinkToFit="1"/>
      <protection hidden="1"/>
    </xf>
    <xf numFmtId="0" fontId="34" fillId="0" borderId="112" xfId="42" applyFont="1" applyBorder="1" applyAlignment="1" applyProtection="1">
      <alignment horizontal="center" vertical="center"/>
      <protection hidden="1"/>
    </xf>
    <xf numFmtId="0" fontId="34" fillId="0" borderId="107" xfId="42" applyFont="1" applyBorder="1" applyAlignment="1" applyProtection="1">
      <alignment horizontal="center" vertical="center"/>
      <protection hidden="1"/>
    </xf>
    <xf numFmtId="0" fontId="34" fillId="0" borderId="57" xfId="42" applyFont="1" applyBorder="1" applyAlignment="1" applyProtection="1">
      <alignment horizontal="center" vertical="center"/>
      <protection hidden="1"/>
    </xf>
    <xf numFmtId="0" fontId="34" fillId="0" borderId="57" xfId="42" applyFont="1" applyBorder="1" applyAlignment="1" applyProtection="1">
      <alignment horizontal="center" vertical="center" textRotation="255" shrinkToFit="1"/>
      <protection hidden="1"/>
    </xf>
    <xf numFmtId="184" fontId="38" fillId="0" borderId="113" xfId="42" applyNumberFormat="1" applyFont="1" applyBorder="1" applyAlignment="1" applyProtection="1">
      <alignment horizontal="center" vertical="center" shrinkToFit="1"/>
      <protection hidden="1"/>
    </xf>
    <xf numFmtId="184" fontId="38" fillId="0" borderId="110" xfId="42" applyNumberFormat="1" applyFont="1" applyBorder="1" applyAlignment="1" applyProtection="1">
      <alignment horizontal="center" vertical="center" shrinkToFit="1"/>
      <protection hidden="1"/>
    </xf>
    <xf numFmtId="184" fontId="34" fillId="0" borderId="110" xfId="42" applyNumberFormat="1" applyFont="1" applyBorder="1" applyAlignment="1" applyProtection="1">
      <alignment horizontal="center" vertical="center"/>
      <protection hidden="1"/>
    </xf>
    <xf numFmtId="0" fontId="34" fillId="0" borderId="54" xfId="42" applyFont="1" applyBorder="1" applyAlignment="1" applyProtection="1">
      <alignment horizontal="center" vertical="center"/>
      <protection hidden="1"/>
    </xf>
    <xf numFmtId="0" fontId="34" fillId="0" borderId="109" xfId="42" applyFont="1" applyBorder="1" applyAlignment="1" applyProtection="1">
      <alignment horizontal="center" vertical="center"/>
      <protection hidden="1"/>
    </xf>
    <xf numFmtId="181" fontId="27" fillId="0" borderId="0" xfId="42" applyNumberFormat="1" applyFont="1" applyAlignment="1" applyProtection="1">
      <alignment horizontal="right" vertical="center" shrinkToFit="1"/>
      <protection locked="0"/>
    </xf>
    <xf numFmtId="56" fontId="31" fillId="0" borderId="47" xfId="42" applyNumberFormat="1" applyFont="1" applyBorder="1" applyAlignment="1" applyProtection="1">
      <alignment horizontal="center" vertical="center" wrapText="1" shrinkToFit="1"/>
      <protection hidden="1"/>
    </xf>
    <xf numFmtId="56" fontId="31" fillId="0" borderId="47" xfId="42" applyNumberFormat="1" applyFont="1" applyBorder="1" applyAlignment="1" applyProtection="1">
      <alignment horizontal="center" vertical="center" shrinkToFit="1"/>
      <protection hidden="1"/>
    </xf>
    <xf numFmtId="56" fontId="31" fillId="0" borderId="17" xfId="42" applyNumberFormat="1" applyFont="1" applyBorder="1" applyAlignment="1" applyProtection="1">
      <alignment horizontal="center" vertical="center" shrinkToFit="1"/>
      <protection hidden="1"/>
    </xf>
    <xf numFmtId="182" fontId="27" fillId="0" borderId="26" xfId="42" applyNumberFormat="1" applyFont="1" applyBorder="1" applyAlignment="1" applyProtection="1">
      <alignment horizontal="center" vertical="center" shrinkToFit="1"/>
      <protection hidden="1"/>
    </xf>
    <xf numFmtId="0" fontId="27" fillId="0" borderId="26" xfId="42" applyFont="1" applyBorder="1" applyAlignment="1" applyProtection="1">
      <alignment horizontal="right" vertical="center" shrinkToFit="1"/>
      <protection hidden="1"/>
    </xf>
    <xf numFmtId="184" fontId="38" fillId="0" borderId="111" xfId="42" applyNumberFormat="1" applyFont="1" applyBorder="1" applyAlignment="1" applyProtection="1">
      <alignment horizontal="center" vertical="center" shrinkToFit="1"/>
      <protection hidden="1"/>
    </xf>
    <xf numFmtId="0" fontId="34" fillId="0" borderId="110" xfId="42" applyFont="1" applyBorder="1" applyAlignment="1" applyProtection="1">
      <alignment horizontal="center" vertical="center" textRotation="255" shrinkToFit="1"/>
      <protection hidden="1"/>
    </xf>
    <xf numFmtId="0" fontId="34" fillId="0" borderId="114" xfId="42" applyFont="1" applyBorder="1" applyAlignment="1" applyProtection="1">
      <alignment horizontal="center" vertical="center" textRotation="255" shrinkToFit="1"/>
      <protection hidden="1"/>
    </xf>
    <xf numFmtId="0" fontId="34" fillId="0" borderId="116" xfId="42" applyFont="1" applyBorder="1" applyAlignment="1" applyProtection="1">
      <alignment horizontal="center" vertical="center" textRotation="255" shrinkToFit="1"/>
      <protection hidden="1"/>
    </xf>
    <xf numFmtId="0" fontId="29" fillId="0" borderId="28" xfId="42" applyFont="1" applyBorder="1" applyAlignment="1" applyProtection="1">
      <alignment horizontal="center" vertical="top"/>
      <protection hidden="1"/>
    </xf>
    <xf numFmtId="0" fontId="29" fillId="0" borderId="20" xfId="42" applyFont="1" applyBorder="1" applyAlignment="1" applyProtection="1">
      <alignment horizontal="center" vertical="top"/>
      <protection hidden="1"/>
    </xf>
    <xf numFmtId="0" fontId="29" fillId="0" borderId="89" xfId="42" applyFont="1" applyBorder="1" applyAlignment="1" applyProtection="1">
      <alignment horizontal="center" vertical="top"/>
      <protection hidden="1"/>
    </xf>
    <xf numFmtId="184" fontId="34" fillId="0" borderId="44" xfId="42" applyNumberFormat="1" applyFont="1" applyBorder="1" applyAlignment="1" applyProtection="1">
      <alignment horizontal="center" vertical="center" shrinkToFit="1"/>
      <protection hidden="1"/>
    </xf>
    <xf numFmtId="184" fontId="29" fillId="0" borderId="45" xfId="0" applyNumberFormat="1" applyFont="1" applyBorder="1" applyAlignment="1" applyProtection="1">
      <alignment horizontal="center" vertical="center" shrinkToFit="1"/>
      <protection hidden="1"/>
    </xf>
    <xf numFmtId="184" fontId="29" fillId="0" borderId="46" xfId="0" applyNumberFormat="1" applyFont="1" applyBorder="1" applyAlignment="1" applyProtection="1">
      <alignment horizontal="center" vertical="center" shrinkToFit="1"/>
      <protection hidden="1"/>
    </xf>
    <xf numFmtId="184" fontId="34" fillId="0" borderId="14" xfId="42" applyNumberFormat="1" applyFont="1" applyBorder="1" applyAlignment="1" applyProtection="1">
      <alignment horizontal="center" vertical="center" shrinkToFit="1"/>
      <protection hidden="1"/>
    </xf>
    <xf numFmtId="184" fontId="29" fillId="0" borderId="117" xfId="0" applyNumberFormat="1" applyFont="1" applyBorder="1" applyAlignment="1" applyProtection="1">
      <alignment horizontal="center" vertical="center" shrinkToFit="1"/>
      <protection hidden="1"/>
    </xf>
    <xf numFmtId="184" fontId="29" fillId="0" borderId="15" xfId="0" applyNumberFormat="1" applyFont="1" applyBorder="1" applyAlignment="1" applyProtection="1">
      <alignment horizontal="center" vertical="center" shrinkToFit="1"/>
      <protection hidden="1"/>
    </xf>
    <xf numFmtId="184" fontId="34" fillId="0" borderId="19" xfId="42" applyNumberFormat="1" applyFont="1" applyBorder="1" applyAlignment="1" applyProtection="1">
      <alignment horizontal="center" vertical="center" shrinkToFit="1"/>
      <protection hidden="1"/>
    </xf>
    <xf numFmtId="184" fontId="29" fillId="0" borderId="51" xfId="0" applyNumberFormat="1" applyFont="1" applyBorder="1" applyAlignment="1" applyProtection="1">
      <alignment horizontal="center" vertical="center" shrinkToFit="1"/>
      <protection hidden="1"/>
    </xf>
    <xf numFmtId="184" fontId="29" fillId="0" borderId="18" xfId="0" applyNumberFormat="1" applyFont="1" applyBorder="1" applyAlignment="1" applyProtection="1">
      <alignment horizontal="center" vertical="center" shrinkToFit="1"/>
      <protection hidden="1"/>
    </xf>
    <xf numFmtId="0" fontId="34" fillId="0" borderId="114" xfId="42" applyFont="1" applyBorder="1" applyAlignment="1" applyProtection="1">
      <alignment horizontal="center" vertical="center"/>
      <protection hidden="1"/>
    </xf>
    <xf numFmtId="0" fontId="34" fillId="0" borderId="115" xfId="42" applyFont="1" applyBorder="1" applyAlignment="1" applyProtection="1">
      <alignment horizontal="center" vertical="center"/>
      <protection hidden="1"/>
    </xf>
    <xf numFmtId="0" fontId="35" fillId="0" borderId="0" xfId="41" applyFont="1" applyAlignment="1" applyProtection="1">
      <alignment horizontal="center" vertical="center" shrinkToFit="1"/>
      <protection hidden="1"/>
    </xf>
    <xf numFmtId="0" fontId="32" fillId="0" borderId="10" xfId="41" applyFont="1" applyBorder="1" applyAlignment="1" applyProtection="1">
      <alignment horizontal="center" vertical="center" shrinkToFit="1"/>
      <protection hidden="1"/>
    </xf>
    <xf numFmtId="0" fontId="32" fillId="0" borderId="88" xfId="41" applyFont="1" applyBorder="1" applyAlignment="1" applyProtection="1">
      <alignment horizontal="center" vertical="center" shrinkToFit="1"/>
      <protection hidden="1"/>
    </xf>
    <xf numFmtId="0" fontId="32" fillId="0" borderId="47" xfId="41" applyFont="1" applyBorder="1" applyAlignment="1" applyProtection="1">
      <alignment horizontal="center" vertical="center" shrinkToFit="1"/>
      <protection hidden="1"/>
    </xf>
    <xf numFmtId="0" fontId="37" fillId="36" borderId="119" xfId="43" applyFont="1" applyFill="1" applyBorder="1" applyAlignment="1" applyProtection="1">
      <alignment horizontal="center" vertical="center" shrinkToFit="1"/>
      <protection hidden="1"/>
    </xf>
    <xf numFmtId="0" fontId="37" fillId="36" borderId="120" xfId="43" applyFont="1" applyFill="1" applyBorder="1" applyAlignment="1" applyProtection="1">
      <alignment horizontal="center" vertical="center" shrinkToFit="1"/>
      <protection hidden="1"/>
    </xf>
    <xf numFmtId="0" fontId="37" fillId="36" borderId="121" xfId="43" applyFont="1" applyFill="1" applyBorder="1" applyAlignment="1" applyProtection="1">
      <alignment horizontal="center" vertical="center" shrinkToFit="1"/>
      <protection hidden="1"/>
    </xf>
    <xf numFmtId="0" fontId="47" fillId="32" borderId="0" xfId="43" applyFont="1" applyFill="1" applyAlignment="1" applyProtection="1">
      <alignment horizontal="center" vertical="center"/>
      <protection hidden="1"/>
    </xf>
    <xf numFmtId="176" fontId="36" fillId="0" borderId="70" xfId="43" applyNumberFormat="1" applyFont="1" applyBorder="1" applyAlignment="1" applyProtection="1">
      <alignment horizontal="center" vertical="center"/>
      <protection hidden="1"/>
    </xf>
    <xf numFmtId="176" fontId="36" fillId="0" borderId="68" xfId="43" applyNumberFormat="1" applyFont="1" applyBorder="1" applyAlignment="1" applyProtection="1">
      <alignment horizontal="center" vertical="center"/>
      <protection hidden="1"/>
    </xf>
    <xf numFmtId="181" fontId="36" fillId="34" borderId="118" xfId="43" applyNumberFormat="1" applyFont="1" applyFill="1" applyBorder="1" applyAlignment="1" applyProtection="1">
      <alignment horizontal="center" vertical="center" shrinkToFit="1"/>
      <protection hidden="1"/>
    </xf>
    <xf numFmtId="176" fontId="36" fillId="34" borderId="10" xfId="43" applyNumberFormat="1" applyFont="1" applyFill="1" applyBorder="1" applyAlignment="1" applyProtection="1">
      <alignment horizontal="center" vertical="center"/>
      <protection hidden="1"/>
    </xf>
    <xf numFmtId="0" fontId="31" fillId="0" borderId="0" xfId="43" applyFont="1" applyAlignment="1" applyProtection="1">
      <alignment horizontal="center" vertical="center"/>
      <protection hidden="1"/>
    </xf>
    <xf numFmtId="0" fontId="37" fillId="36" borderId="129" xfId="43" applyFont="1" applyFill="1" applyBorder="1" applyAlignment="1" applyProtection="1">
      <alignment horizontal="center" vertical="center" shrinkToFit="1"/>
      <protection hidden="1"/>
    </xf>
    <xf numFmtId="0" fontId="37" fillId="36" borderId="130" xfId="43" applyFont="1" applyFill="1" applyBorder="1" applyAlignment="1" applyProtection="1">
      <alignment horizontal="center" vertical="center" shrinkToFit="1"/>
      <protection hidden="1"/>
    </xf>
    <xf numFmtId="0" fontId="37" fillId="36" borderId="131" xfId="43" applyFont="1" applyFill="1" applyBorder="1" applyAlignment="1" applyProtection="1">
      <alignment horizontal="center" vertical="center" shrinkToFit="1"/>
      <protection hidden="1"/>
    </xf>
    <xf numFmtId="181" fontId="36" fillId="0" borderId="118" xfId="43" applyNumberFormat="1" applyFont="1" applyBorder="1" applyAlignment="1" applyProtection="1">
      <alignment horizontal="center" vertical="center" shrinkToFit="1"/>
      <protection hidden="1"/>
    </xf>
    <xf numFmtId="176" fontId="36" fillId="0" borderId="10" xfId="43" applyNumberFormat="1" applyFont="1" applyBorder="1" applyAlignment="1" applyProtection="1">
      <alignment horizontal="center" vertical="center"/>
      <protection hidden="1"/>
    </xf>
    <xf numFmtId="0" fontId="48" fillId="33" borderId="0" xfId="41" applyFont="1" applyFill="1" applyAlignment="1" applyProtection="1">
      <alignment vertical="top" shrinkToFit="1"/>
      <protection hidden="1"/>
    </xf>
    <xf numFmtId="181" fontId="36" fillId="0" borderId="69" xfId="43" applyNumberFormat="1" applyFont="1" applyBorder="1" applyAlignment="1" applyProtection="1">
      <alignment horizontal="center" vertical="center" shrinkToFit="1"/>
      <protection hidden="1"/>
    </xf>
    <xf numFmtId="181" fontId="36" fillId="0" borderId="122" xfId="43" applyNumberFormat="1" applyFont="1" applyBorder="1" applyAlignment="1" applyProtection="1">
      <alignment horizontal="center" vertical="center" shrinkToFit="1"/>
      <protection hidden="1"/>
    </xf>
    <xf numFmtId="0" fontId="37" fillId="0" borderId="119" xfId="43" applyFont="1" applyBorder="1" applyAlignment="1" applyProtection="1">
      <alignment horizontal="center" vertical="center" shrinkToFit="1"/>
      <protection hidden="1"/>
    </xf>
    <xf numFmtId="0" fontId="37" fillId="0" borderId="120" xfId="43" applyFont="1" applyBorder="1" applyAlignment="1" applyProtection="1">
      <alignment horizontal="center" vertical="center" shrinkToFit="1"/>
      <protection hidden="1"/>
    </xf>
    <xf numFmtId="0" fontId="37" fillId="0" borderId="121" xfId="43" applyFont="1" applyBorder="1" applyAlignment="1" applyProtection="1">
      <alignment horizontal="center" vertical="center" shrinkToFit="1"/>
      <protection hidden="1"/>
    </xf>
    <xf numFmtId="0" fontId="27" fillId="0" borderId="0" xfId="41" applyFont="1" applyAlignment="1" applyProtection="1">
      <alignment vertical="top" shrinkToFit="1"/>
      <protection hidden="1"/>
    </xf>
    <xf numFmtId="0" fontId="30" fillId="0" borderId="0" xfId="43" applyFont="1" applyAlignment="1" applyProtection="1">
      <alignment horizontal="center" vertical="center"/>
      <protection hidden="1"/>
    </xf>
    <xf numFmtId="181" fontId="36" fillId="34" borderId="69" xfId="43" applyNumberFormat="1" applyFont="1" applyFill="1" applyBorder="1" applyAlignment="1" applyProtection="1">
      <alignment horizontal="center" vertical="center" shrinkToFit="1"/>
      <protection hidden="1"/>
    </xf>
    <xf numFmtId="181" fontId="36" fillId="34" borderId="122" xfId="43" applyNumberFormat="1" applyFont="1" applyFill="1" applyBorder="1" applyAlignment="1" applyProtection="1">
      <alignment horizontal="center" vertical="center" shrinkToFit="1"/>
      <protection hidden="1"/>
    </xf>
    <xf numFmtId="176" fontId="36" fillId="34" borderId="70" xfId="43" applyNumberFormat="1" applyFont="1" applyFill="1" applyBorder="1" applyAlignment="1" applyProtection="1">
      <alignment horizontal="center" vertical="center"/>
      <protection hidden="1"/>
    </xf>
    <xf numFmtId="176" fontId="36" fillId="34" borderId="68" xfId="43" applyNumberFormat="1" applyFont="1" applyFill="1" applyBorder="1" applyAlignment="1" applyProtection="1">
      <alignment horizontal="center" vertical="center"/>
      <protection hidden="1"/>
    </xf>
    <xf numFmtId="0" fontId="37" fillId="0" borderId="129" xfId="43" applyFont="1" applyBorder="1" applyAlignment="1" applyProtection="1">
      <alignment horizontal="center" vertical="center" shrinkToFit="1"/>
      <protection hidden="1"/>
    </xf>
    <xf numFmtId="0" fontId="37" fillId="0" borderId="130" xfId="43" applyFont="1" applyBorder="1" applyAlignment="1" applyProtection="1">
      <alignment horizontal="center" vertical="center" shrinkToFit="1"/>
      <protection hidden="1"/>
    </xf>
    <xf numFmtId="0" fontId="37" fillId="0" borderId="131" xfId="43" applyFont="1" applyBorder="1" applyAlignment="1" applyProtection="1">
      <alignment horizontal="center" vertical="center" shrinkToFit="1"/>
      <protection hidden="1"/>
    </xf>
    <xf numFmtId="0" fontId="44" fillId="0" borderId="66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6teams_1group" xfId="41" xr:uid="{00000000-0005-0000-0000-000029000000}"/>
    <cellStyle name="標準_金曜18th_16teams.090501ステージ" xfId="42" xr:uid="{00000000-0005-0000-0000-00002A000000}"/>
    <cellStyle name="標準_木曜2009_1st15teams用原案" xfId="43" xr:uid="{00000000-0005-0000-0000-00002B000000}"/>
    <cellStyle name="良い" xfId="44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8709"/>
      <color rgb="FF004067"/>
      <color rgb="FFFFF799"/>
      <color rgb="FFD5EAD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142875</xdr:rowOff>
    </xdr:from>
    <xdr:to>
      <xdr:col>4</xdr:col>
      <xdr:colOff>251385</xdr:colOff>
      <xdr:row>6</xdr:row>
      <xdr:rowOff>132969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CDBC88-5C28-493E-A369-9D29BCDE03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9" t="12358" r="4411" b="13497"/>
        <a:stretch/>
      </xdr:blipFill>
      <xdr:spPr>
        <a:xfrm>
          <a:off x="63500" y="1247775"/>
          <a:ext cx="1445185" cy="707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142875</xdr:rowOff>
    </xdr:from>
    <xdr:to>
      <xdr:col>4</xdr:col>
      <xdr:colOff>251385</xdr:colOff>
      <xdr:row>6</xdr:row>
      <xdr:rowOff>132969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C59B82-7334-4555-B872-77C22EEED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9" t="12358" r="4411" b="13497"/>
        <a:stretch/>
      </xdr:blipFill>
      <xdr:spPr>
        <a:xfrm>
          <a:off x="63500" y="1254125"/>
          <a:ext cx="1457885" cy="707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0</xdr:rowOff>
    </xdr:from>
    <xdr:to>
      <xdr:col>5</xdr:col>
      <xdr:colOff>111760</xdr:colOff>
      <xdr:row>8</xdr:row>
      <xdr:rowOff>1905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51C173-753A-46E6-A2B0-8D941C7C3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79500"/>
          <a:ext cx="1604010" cy="9544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25</xdr:row>
      <xdr:rowOff>28575</xdr:rowOff>
    </xdr:from>
    <xdr:to>
      <xdr:col>10</xdr:col>
      <xdr:colOff>3810</xdr:colOff>
      <xdr:row>26</xdr:row>
      <xdr:rowOff>58533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6B68878-4943-41EA-A9AE-54F2CA8295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85" b="38418"/>
        <a:stretch/>
      </xdr:blipFill>
      <xdr:spPr>
        <a:xfrm>
          <a:off x="8153400" y="6438900"/>
          <a:ext cx="1604010" cy="229983"/>
        </a:xfrm>
        <a:prstGeom prst="rect">
          <a:avLst/>
        </a:prstGeom>
      </xdr:spPr>
    </xdr:pic>
    <xdr:clientData/>
  </xdr:twoCellAnchor>
  <xdr:twoCellAnchor>
    <xdr:from>
      <xdr:col>3</xdr:col>
      <xdr:colOff>247650</xdr:colOff>
      <xdr:row>16</xdr:row>
      <xdr:rowOff>228600</xdr:rowOff>
    </xdr:from>
    <xdr:to>
      <xdr:col>5</xdr:col>
      <xdr:colOff>1343025</xdr:colOff>
      <xdr:row>16</xdr:row>
      <xdr:rowOff>485775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15ABED7-E330-8A84-4E89-B20D6B59C08D}"/>
            </a:ext>
          </a:extLst>
        </xdr:cNvPr>
        <xdr:cNvSpPr/>
      </xdr:nvSpPr>
      <xdr:spPr>
        <a:xfrm>
          <a:off x="1857375" y="4229100"/>
          <a:ext cx="2895600" cy="2571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11/16</a:t>
          </a:r>
          <a:r>
            <a:rPr kumimoji="1" lang="ja-JP" altLang="en-US" sz="1100" baseline="0">
              <a:latin typeface="Yu Gothic UI" panose="020B0500000000000000" pitchFamily="50" charset="-128"/>
              <a:ea typeface="Yu Gothic UI" panose="020B0500000000000000" pitchFamily="50" charset="-128"/>
            </a:rPr>
            <a:t> </a:t>
          </a: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(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木</a:t>
          </a: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)  22:00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（東コートにて）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0</xdr:rowOff>
    </xdr:from>
    <xdr:to>
      <xdr:col>3</xdr:col>
      <xdr:colOff>581025</xdr:colOff>
      <xdr:row>29</xdr:row>
      <xdr:rowOff>47624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51B024EE-E0C5-4C6D-9768-EEED3C43B6B3}"/>
            </a:ext>
          </a:extLst>
        </xdr:cNvPr>
        <xdr:cNvGrpSpPr>
          <a:grpSpLocks/>
        </xdr:cNvGrpSpPr>
      </xdr:nvGrpSpPr>
      <xdr:grpSpPr bwMode="auto">
        <a:xfrm>
          <a:off x="57150" y="5610225"/>
          <a:ext cx="2133600" cy="1047749"/>
          <a:chOff x="11" y="641"/>
          <a:chExt cx="236" cy="137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54A35DF6-B18B-4498-8D44-C78413D6AC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" y="663"/>
            <a:ext cx="217" cy="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※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東コート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Arial"/>
                <a:ea typeface="Yu Gothic UI" panose="020B0500000000000000" pitchFamily="50" charset="-128"/>
                <a:cs typeface="Arial"/>
              </a:rPr>
              <a:t>2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Arial"/>
                <a:ea typeface="Yu Gothic UI" panose="020B0500000000000000" pitchFamily="50" charset="-128"/>
                <a:cs typeface="Arial"/>
              </a:rPr>
              <a:t>0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Arial"/>
                <a:ea typeface="Yu Gothic UI" panose="020B0500000000000000" pitchFamily="50" charset="-128"/>
                <a:cs typeface="Arial"/>
              </a:rPr>
              <a:t>:00-22:30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/>
              </a:rPr>
              <a:t>はコートレンタルとしてのご利用が可能です。</a:t>
            </a:r>
            <a:endParaRPr lang="en-US" altLang="ja-JP" sz="900" b="0" i="0" u="none" strike="noStrike" baseline="0">
              <a:solidFill>
                <a:srgbClr val="000000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/>
              </a:rPr>
              <a:t>ご希望のチームはお早めにご予約ください。</a:t>
            </a:r>
            <a:endParaRPr lang="ja-JP" altLang="en-US" sz="900" b="1" i="0" u="none" strike="noStrike" baseline="0">
              <a:solidFill>
                <a:srgbClr val="00000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7" name="AutoShape 3">
            <a:extLst>
              <a:ext uri="{FF2B5EF4-FFF2-40B4-BE49-F238E27FC236}">
                <a16:creationId xmlns:a16="http://schemas.microsoft.com/office/drawing/2014/main" id="{ACBB2720-4FC0-4E9F-B7C4-D168A0134D37}"/>
              </a:ext>
            </a:extLst>
          </xdr:cNvPr>
          <xdr:cNvSpPr>
            <a:spLocks noChangeArrowheads="1"/>
          </xdr:cNvSpPr>
        </xdr:nvSpPr>
        <xdr:spPr bwMode="auto">
          <a:xfrm>
            <a:off x="11" y="641"/>
            <a:ext cx="236" cy="137"/>
          </a:xfrm>
          <a:prstGeom prst="roundRect">
            <a:avLst>
              <a:gd name="adj" fmla="val 1666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9</xdr:col>
      <xdr:colOff>85724</xdr:colOff>
      <xdr:row>26</xdr:row>
      <xdr:rowOff>19050</xdr:rowOff>
    </xdr:from>
    <xdr:to>
      <xdr:col>10</xdr:col>
      <xdr:colOff>47624</xdr:colOff>
      <xdr:row>30</xdr:row>
      <xdr:rowOff>163354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BD413B0-BCB5-47F2-ACDB-17EF622D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099" y="6029325"/>
          <a:ext cx="1343025" cy="944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DAC9-7A7D-4A8B-B9E2-F8697DEDEC6E}">
  <dimension ref="A1:CQ40"/>
  <sheetViews>
    <sheetView topLeftCell="A13" zoomScale="60" zoomScaleNormal="60" workbookViewId="0">
      <selection activeCell="P17" sqref="P17:R18"/>
    </sheetView>
  </sheetViews>
  <sheetFormatPr defaultColWidth="10.28515625" defaultRowHeight="16.5" x14ac:dyDescent="0.15"/>
  <cols>
    <col min="1" max="6" width="4.7109375" style="63" customWidth="1"/>
    <col min="7" max="21" width="3.7109375" style="63" customWidth="1"/>
    <col min="22" max="30" width="7.7109375" style="63" customWidth="1"/>
    <col min="31" max="37" width="3.28515625" style="63" customWidth="1"/>
    <col min="38" max="38" width="6.7109375" style="64" customWidth="1"/>
    <col min="39" max="39" width="3.28515625" style="63" customWidth="1"/>
    <col min="40" max="43" width="3.28515625" style="63" hidden="1" customWidth="1"/>
    <col min="44" max="44" width="3.28515625" style="63" customWidth="1"/>
    <col min="45" max="46" width="6.85546875" style="63" customWidth="1"/>
    <col min="47" max="48" width="3.28515625" style="64" hidden="1" customWidth="1"/>
    <col min="49" max="49" width="1.42578125" style="64" hidden="1" customWidth="1"/>
    <col min="50" max="50" width="3.28515625" style="64" hidden="1" customWidth="1"/>
    <col min="51" max="51" width="3" style="64" customWidth="1"/>
    <col min="52" max="52" width="12" style="64" customWidth="1"/>
    <col min="53" max="62" width="6.28515625" style="64" customWidth="1"/>
    <col min="63" max="73" width="6.28515625" style="64" hidden="1" customWidth="1"/>
    <col min="74" max="76" width="7.5703125" style="64" customWidth="1"/>
    <col min="77" max="78" width="6.42578125" style="64" customWidth="1"/>
    <col min="79" max="80" width="7.5703125" style="64" customWidth="1"/>
    <col min="81" max="84" width="3.28515625" style="63" customWidth="1"/>
    <col min="85" max="135" width="3" style="63" customWidth="1"/>
    <col min="136" max="16384" width="10.28515625" style="63"/>
  </cols>
  <sheetData>
    <row r="1" spans="1:95" ht="50.1" customHeight="1" x14ac:dyDescent="0.15">
      <c r="A1" s="384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63"/>
      <c r="BC1" s="63"/>
      <c r="BD1" s="63"/>
      <c r="BE1" s="63"/>
      <c r="BF1" s="63"/>
      <c r="BG1" s="63"/>
      <c r="BH1" s="63"/>
      <c r="BI1" s="63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</row>
    <row r="2" spans="1:95" s="365" customFormat="1" ht="37.5" x14ac:dyDescent="0.15">
      <c r="A2" s="386" t="str">
        <f>"★"&amp;'5チーム2回戦総当たりスケジュール作業表'!C1&amp;"リーグ"</f>
        <v>★木曜リーグ</v>
      </c>
      <c r="B2" s="387"/>
      <c r="C2" s="387"/>
      <c r="D2" s="387"/>
      <c r="E2" s="387"/>
      <c r="F2" s="387"/>
      <c r="G2" s="387"/>
      <c r="H2" s="388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63" t="s">
        <v>125</v>
      </c>
      <c r="AB2" s="322"/>
      <c r="AC2" s="322"/>
      <c r="AD2" s="322"/>
      <c r="AE2" s="322"/>
      <c r="AF2" s="322"/>
      <c r="AG2" s="322"/>
      <c r="AH2" s="322"/>
      <c r="AI2" s="322"/>
      <c r="AJ2" s="363"/>
      <c r="AK2" s="364"/>
      <c r="AL2" s="364"/>
      <c r="AM2" s="370"/>
      <c r="AN2" s="371"/>
      <c r="AO2" s="371"/>
      <c r="AP2" s="371"/>
      <c r="AQ2" s="371"/>
      <c r="AR2" s="371"/>
      <c r="AS2" s="371"/>
      <c r="AT2" s="371"/>
      <c r="AU2" s="371"/>
      <c r="AV2" s="371"/>
      <c r="AW2" s="370"/>
      <c r="AX2" s="370"/>
      <c r="AY2" s="370"/>
      <c r="AZ2" s="370"/>
      <c r="BA2" s="372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</row>
    <row r="3" spans="1:95" ht="9.9499999999999993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67"/>
      <c r="X3" s="67"/>
      <c r="Y3" s="67"/>
      <c r="Z3" s="67"/>
      <c r="AA3" s="67"/>
      <c r="AB3" s="67"/>
      <c r="AC3" s="67"/>
      <c r="AD3" s="67"/>
      <c r="AE3" s="68"/>
      <c r="AF3" s="68"/>
      <c r="AG3" s="68"/>
      <c r="AH3" s="68"/>
      <c r="AI3" s="68"/>
      <c r="AJ3" s="68"/>
      <c r="AK3" s="68"/>
      <c r="AL3" s="368"/>
    </row>
    <row r="4" spans="1:95" ht="15" customHeight="1" x14ac:dyDescent="0.15">
      <c r="A4" s="68"/>
      <c r="B4" s="68"/>
      <c r="C4" s="68"/>
      <c r="D4" s="68"/>
      <c r="E4" s="68"/>
      <c r="F4" s="68"/>
      <c r="G4" s="390" t="str">
        <f>A11</f>
        <v>T-25</v>
      </c>
      <c r="H4" s="390"/>
      <c r="I4" s="390"/>
      <c r="J4" s="390" t="str">
        <f>A17</f>
        <v>Etelia</v>
      </c>
      <c r="K4" s="390"/>
      <c r="L4" s="390"/>
      <c r="M4" s="390" t="str">
        <f>A23</f>
        <v>うなぎ</v>
      </c>
      <c r="N4" s="390"/>
      <c r="O4" s="390"/>
      <c r="P4" s="390" t="str">
        <f>A29</f>
        <v>飛杉田新地</v>
      </c>
      <c r="Q4" s="390"/>
      <c r="R4" s="390"/>
      <c r="S4" s="390" t="str">
        <f>A35</f>
        <v>PURE</v>
      </c>
      <c r="T4" s="390"/>
      <c r="U4" s="390"/>
      <c r="V4" s="65"/>
      <c r="W4" s="65"/>
      <c r="X4" s="65"/>
      <c r="Y4" s="65"/>
      <c r="Z4" s="65"/>
      <c r="AA4" s="65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392" t="s">
        <v>16</v>
      </c>
    </row>
    <row r="5" spans="1:95" ht="15" customHeight="1" x14ac:dyDescent="0.15">
      <c r="A5" s="68"/>
      <c r="B5" s="68"/>
      <c r="C5" s="68"/>
      <c r="D5" s="68"/>
      <c r="E5" s="68"/>
      <c r="F5" s="68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65"/>
      <c r="W5" s="65"/>
      <c r="X5" s="65"/>
      <c r="Y5" s="65"/>
      <c r="Z5" s="65"/>
      <c r="AA5" s="65"/>
      <c r="AB5" s="69" t="s">
        <v>17</v>
      </c>
      <c r="AC5" s="395" t="s">
        <v>18</v>
      </c>
      <c r="AD5" s="395"/>
      <c r="AE5" s="68"/>
      <c r="AF5" s="68"/>
      <c r="AG5" s="68"/>
      <c r="AH5" s="68"/>
      <c r="AI5" s="68"/>
      <c r="AJ5" s="68"/>
      <c r="AK5" s="68"/>
      <c r="AL5" s="393"/>
    </row>
    <row r="6" spans="1:95" ht="15" customHeight="1" x14ac:dyDescent="0.15">
      <c r="A6" s="68"/>
      <c r="B6" s="68"/>
      <c r="C6" s="68"/>
      <c r="D6" s="68"/>
      <c r="E6" s="68"/>
      <c r="F6" s="68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65"/>
      <c r="W6" s="65"/>
      <c r="X6" s="65"/>
      <c r="Y6" s="65"/>
      <c r="Z6" s="65"/>
      <c r="AA6" s="65"/>
      <c r="AB6" s="69" t="s">
        <v>19</v>
      </c>
      <c r="AC6" s="395" t="s">
        <v>20</v>
      </c>
      <c r="AD6" s="395"/>
      <c r="AE6" s="68"/>
      <c r="AF6" s="68"/>
      <c r="AG6" s="68"/>
      <c r="AH6" s="68"/>
      <c r="AI6" s="68"/>
      <c r="AJ6" s="68"/>
      <c r="AK6" s="68"/>
      <c r="AL6" s="393"/>
    </row>
    <row r="7" spans="1:95" ht="15" customHeight="1" x14ac:dyDescent="0.15">
      <c r="A7" s="68"/>
      <c r="B7" s="68"/>
      <c r="C7" s="68"/>
      <c r="D7" s="68"/>
      <c r="E7" s="68"/>
      <c r="F7" s="68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68"/>
      <c r="W7" s="68"/>
      <c r="X7" s="68"/>
      <c r="Y7" s="68"/>
      <c r="Z7" s="68"/>
      <c r="AA7" s="68"/>
      <c r="AB7" s="69" t="s">
        <v>72</v>
      </c>
      <c r="AC7" s="395" t="s">
        <v>21</v>
      </c>
      <c r="AD7" s="395"/>
      <c r="AE7" s="68"/>
      <c r="AF7" s="68"/>
      <c r="AG7" s="68"/>
      <c r="AH7" s="68"/>
      <c r="AI7" s="68"/>
      <c r="AJ7" s="68"/>
      <c r="AK7" s="68"/>
      <c r="AL7" s="393"/>
    </row>
    <row r="8" spans="1:95" ht="15" customHeight="1" x14ac:dyDescent="0.15">
      <c r="A8" s="68"/>
      <c r="B8" s="68"/>
      <c r="C8" s="68"/>
      <c r="D8" s="68"/>
      <c r="E8" s="68"/>
      <c r="F8" s="68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6" t="s">
        <v>22</v>
      </c>
      <c r="W8" s="396"/>
      <c r="X8" s="396"/>
      <c r="Y8" s="396"/>
      <c r="Z8" s="396"/>
      <c r="AA8" s="396"/>
      <c r="AB8" s="396"/>
      <c r="AC8" s="396"/>
      <c r="AD8" s="396"/>
      <c r="AE8" s="68"/>
      <c r="AF8" s="68"/>
      <c r="AG8" s="68"/>
      <c r="AH8" s="68"/>
      <c r="AI8" s="68"/>
      <c r="AJ8" s="68"/>
      <c r="AK8" s="68"/>
      <c r="AL8" s="393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</row>
    <row r="9" spans="1:95" ht="15" customHeight="1" x14ac:dyDescent="0.15">
      <c r="A9" s="397">
        <f>記録用紙!A2</f>
        <v>10</v>
      </c>
      <c r="B9" s="398"/>
      <c r="C9" s="398"/>
      <c r="D9" s="398"/>
      <c r="E9" s="398"/>
      <c r="F9" s="399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403" t="s">
        <v>23</v>
      </c>
      <c r="W9" s="405" t="s">
        <v>24</v>
      </c>
      <c r="X9" s="405" t="s">
        <v>26</v>
      </c>
      <c r="Y9" s="405" t="s">
        <v>25</v>
      </c>
      <c r="Z9" s="405" t="s">
        <v>27</v>
      </c>
      <c r="AA9" s="405" t="s">
        <v>28</v>
      </c>
      <c r="AB9" s="405" t="s">
        <v>29</v>
      </c>
      <c r="AC9" s="405" t="s">
        <v>30</v>
      </c>
      <c r="AD9" s="405" t="s">
        <v>31</v>
      </c>
      <c r="AE9" s="407" t="s">
        <v>32</v>
      </c>
      <c r="AF9" s="408"/>
      <c r="AG9" s="408"/>
      <c r="AH9" s="408"/>
      <c r="AI9" s="408"/>
      <c r="AJ9" s="408"/>
      <c r="AK9" s="409"/>
      <c r="AL9" s="393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</row>
    <row r="10" spans="1:95" ht="15" customHeight="1" thickBot="1" x14ac:dyDescent="0.2">
      <c r="A10" s="400"/>
      <c r="B10" s="401"/>
      <c r="C10" s="401"/>
      <c r="D10" s="401"/>
      <c r="E10" s="401"/>
      <c r="F10" s="402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404"/>
      <c r="W10" s="406"/>
      <c r="X10" s="406"/>
      <c r="Y10" s="406"/>
      <c r="Z10" s="406"/>
      <c r="AA10" s="406"/>
      <c r="AB10" s="406"/>
      <c r="AC10" s="406"/>
      <c r="AD10" s="406"/>
      <c r="AE10" s="410"/>
      <c r="AF10" s="411"/>
      <c r="AG10" s="411"/>
      <c r="AH10" s="411"/>
      <c r="AI10" s="411"/>
      <c r="AJ10" s="411"/>
      <c r="AK10" s="412"/>
      <c r="AL10" s="394"/>
      <c r="AZ10" s="71"/>
      <c r="BA10" s="72">
        <v>1</v>
      </c>
      <c r="BB10" s="72">
        <v>2</v>
      </c>
      <c r="BC10" s="72">
        <v>3</v>
      </c>
      <c r="BD10" s="72">
        <v>4</v>
      </c>
      <c r="BE10" s="72">
        <v>5</v>
      </c>
      <c r="BF10" s="72">
        <v>6</v>
      </c>
      <c r="BG10" s="72">
        <v>7</v>
      </c>
      <c r="BH10" s="72">
        <v>8</v>
      </c>
      <c r="BI10" s="72">
        <v>9</v>
      </c>
      <c r="BJ10" s="72">
        <v>10</v>
      </c>
      <c r="BK10" s="72">
        <v>11</v>
      </c>
      <c r="BL10" s="72">
        <v>12</v>
      </c>
      <c r="BM10" s="72">
        <v>13</v>
      </c>
      <c r="BN10" s="72">
        <v>14</v>
      </c>
      <c r="BO10" s="72">
        <v>15</v>
      </c>
      <c r="BP10" s="72">
        <v>16</v>
      </c>
      <c r="BQ10" s="72">
        <v>17</v>
      </c>
      <c r="BR10" s="72">
        <v>18</v>
      </c>
      <c r="BS10" s="72">
        <v>19</v>
      </c>
      <c r="BT10" s="72">
        <v>20</v>
      </c>
      <c r="BU10" s="72">
        <v>21</v>
      </c>
      <c r="BV10" s="72" t="s">
        <v>73</v>
      </c>
      <c r="BW10" s="72" t="s">
        <v>74</v>
      </c>
      <c r="BX10" s="72"/>
      <c r="BY10" s="73" t="s">
        <v>33</v>
      </c>
      <c r="BZ10" s="73" t="s">
        <v>34</v>
      </c>
      <c r="CA10" s="73" t="s">
        <v>35</v>
      </c>
      <c r="CB10" s="74" t="s">
        <v>75</v>
      </c>
    </row>
    <row r="11" spans="1:95" ht="15.95" customHeight="1" thickTop="1" x14ac:dyDescent="0.15">
      <c r="A11" s="419" t="str">
        <f>'5チーム2回戦総当たりスケジュール作業表'!$X$6</f>
        <v>T-25</v>
      </c>
      <c r="B11" s="420"/>
      <c r="C11" s="420"/>
      <c r="D11" s="420"/>
      <c r="E11" s="420"/>
      <c r="F11" s="421"/>
      <c r="G11" s="435"/>
      <c r="H11" s="435"/>
      <c r="I11" s="436"/>
      <c r="J11" s="428"/>
      <c r="K11" s="429"/>
      <c r="L11" s="430"/>
      <c r="M11" s="428"/>
      <c r="N11" s="429"/>
      <c r="O11" s="430"/>
      <c r="P11" s="428"/>
      <c r="Q11" s="429"/>
      <c r="R11" s="430"/>
      <c r="S11" s="428"/>
      <c r="T11" s="429"/>
      <c r="U11" s="430"/>
      <c r="V11" s="443">
        <f>SUM(W11:Y16)</f>
        <v>0</v>
      </c>
      <c r="W11" s="443">
        <f>COUNTIF($G11:$U16,"○")</f>
        <v>0</v>
      </c>
      <c r="X11" s="443">
        <f>COUNTIF($G11:$U16,"△")</f>
        <v>0</v>
      </c>
      <c r="Y11" s="443">
        <f>COUNTIF($G11:$U16,"●")</f>
        <v>0</v>
      </c>
      <c r="Z11" s="443">
        <f>SUM(G13,J13,M13,P13,S13,G16,J16,M16,P16,S16)</f>
        <v>0</v>
      </c>
      <c r="AA11" s="443">
        <f>SUM(I13,L13,O13,R13,U13,I16,L16,O16,R16,U16)</f>
        <v>0</v>
      </c>
      <c r="AB11" s="443">
        <f>Z11-AA11</f>
        <v>0</v>
      </c>
      <c r="AC11" s="443">
        <f>W11*3+X11*1</f>
        <v>0</v>
      </c>
      <c r="AD11" s="450">
        <f>IF($A$9&lt;1,"",RANK(AS11,$AS$11:$AT$40,0))</f>
        <v>1</v>
      </c>
      <c r="AE11" s="452" t="str">
        <f>A11</f>
        <v>T-25</v>
      </c>
      <c r="AF11" s="453"/>
      <c r="AG11" s="453"/>
      <c r="AH11" s="453"/>
      <c r="AI11" s="453"/>
      <c r="AJ11" s="453"/>
      <c r="AK11" s="454"/>
      <c r="AL11" s="458">
        <f>IF($A$9&lt;1,"",CB11)</f>
        <v>1</v>
      </c>
      <c r="AS11" s="460">
        <f>AC11*100+AB11+Z11/100</f>
        <v>0</v>
      </c>
      <c r="AT11" s="460"/>
      <c r="AZ11" s="75" t="s">
        <v>36</v>
      </c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7">
        <f t="shared" ref="BV11:BV17" si="0">SUM(BA11:BU11)</f>
        <v>0</v>
      </c>
      <c r="BW11" s="77">
        <f>BV11*1</f>
        <v>0</v>
      </c>
      <c r="BX11" s="440">
        <f>SUM(BW11:BW13)</f>
        <v>0</v>
      </c>
      <c r="BY11" s="441"/>
      <c r="BZ11" s="441"/>
      <c r="CA11" s="440">
        <f>SUM(BX11:BZ13)</f>
        <v>0</v>
      </c>
      <c r="CB11" s="442">
        <f>RANK(CA11,$CA$11:$CA$37,1)</f>
        <v>1</v>
      </c>
    </row>
    <row r="12" spans="1:95" ht="15.95" customHeight="1" x14ac:dyDescent="0.15">
      <c r="A12" s="422"/>
      <c r="B12" s="423"/>
      <c r="C12" s="423"/>
      <c r="D12" s="423"/>
      <c r="E12" s="423"/>
      <c r="F12" s="424"/>
      <c r="G12" s="435"/>
      <c r="H12" s="435"/>
      <c r="I12" s="436"/>
      <c r="J12" s="428"/>
      <c r="K12" s="429"/>
      <c r="L12" s="430"/>
      <c r="M12" s="428"/>
      <c r="N12" s="429"/>
      <c r="O12" s="430"/>
      <c r="P12" s="428"/>
      <c r="Q12" s="429"/>
      <c r="R12" s="430"/>
      <c r="S12" s="428"/>
      <c r="T12" s="429"/>
      <c r="U12" s="430"/>
      <c r="V12" s="444"/>
      <c r="W12" s="444"/>
      <c r="X12" s="444"/>
      <c r="Y12" s="444"/>
      <c r="Z12" s="444"/>
      <c r="AA12" s="444"/>
      <c r="AB12" s="444"/>
      <c r="AC12" s="444"/>
      <c r="AD12" s="451"/>
      <c r="AE12" s="455"/>
      <c r="AF12" s="456"/>
      <c r="AG12" s="456"/>
      <c r="AH12" s="456"/>
      <c r="AI12" s="456"/>
      <c r="AJ12" s="456"/>
      <c r="AK12" s="457"/>
      <c r="AL12" s="459"/>
      <c r="AS12" s="460"/>
      <c r="AT12" s="460"/>
      <c r="AZ12" s="75" t="s">
        <v>37</v>
      </c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7">
        <f t="shared" si="0"/>
        <v>0</v>
      </c>
      <c r="BW12" s="77">
        <f>BV12*5</f>
        <v>0</v>
      </c>
      <c r="BX12" s="440"/>
      <c r="BY12" s="441"/>
      <c r="BZ12" s="441"/>
      <c r="CA12" s="440"/>
      <c r="CB12" s="442"/>
    </row>
    <row r="13" spans="1:95" ht="15.95" customHeight="1" x14ac:dyDescent="0.15">
      <c r="A13" s="422"/>
      <c r="B13" s="423"/>
      <c r="C13" s="423"/>
      <c r="D13" s="423"/>
      <c r="E13" s="423"/>
      <c r="F13" s="424"/>
      <c r="G13" s="438"/>
      <c r="H13" s="438"/>
      <c r="I13" s="439"/>
      <c r="J13" s="376"/>
      <c r="K13" s="79" t="s">
        <v>38</v>
      </c>
      <c r="L13" s="377"/>
      <c r="M13" s="376"/>
      <c r="N13" s="79" t="s">
        <v>38</v>
      </c>
      <c r="O13" s="377"/>
      <c r="P13" s="376"/>
      <c r="Q13" s="79" t="s">
        <v>38</v>
      </c>
      <c r="R13" s="377"/>
      <c r="S13" s="376"/>
      <c r="T13" s="79" t="s">
        <v>38</v>
      </c>
      <c r="U13" s="377"/>
      <c r="V13" s="444"/>
      <c r="W13" s="444"/>
      <c r="X13" s="444"/>
      <c r="Y13" s="444"/>
      <c r="Z13" s="444"/>
      <c r="AA13" s="444"/>
      <c r="AB13" s="444"/>
      <c r="AC13" s="444"/>
      <c r="AD13" s="451"/>
      <c r="AE13" s="455"/>
      <c r="AF13" s="456"/>
      <c r="AG13" s="456"/>
      <c r="AH13" s="456"/>
      <c r="AI13" s="456"/>
      <c r="AJ13" s="456"/>
      <c r="AK13" s="457"/>
      <c r="AL13" s="459"/>
      <c r="AS13" s="460"/>
      <c r="AT13" s="460"/>
      <c r="AZ13" s="75" t="s">
        <v>39</v>
      </c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>
        <f t="shared" si="0"/>
        <v>0</v>
      </c>
      <c r="BW13" s="77">
        <f>BV13*10</f>
        <v>0</v>
      </c>
      <c r="BX13" s="440"/>
      <c r="BY13" s="441"/>
      <c r="BZ13" s="441"/>
      <c r="CA13" s="440"/>
      <c r="CB13" s="442"/>
    </row>
    <row r="14" spans="1:95" ht="15.95" customHeight="1" x14ac:dyDescent="0.15">
      <c r="A14" s="422"/>
      <c r="B14" s="423"/>
      <c r="C14" s="423"/>
      <c r="D14" s="423"/>
      <c r="E14" s="423"/>
      <c r="F14" s="424"/>
      <c r="G14" s="435"/>
      <c r="H14" s="435"/>
      <c r="I14" s="436"/>
      <c r="J14" s="428"/>
      <c r="K14" s="429"/>
      <c r="L14" s="430"/>
      <c r="M14" s="428"/>
      <c r="N14" s="429"/>
      <c r="O14" s="430"/>
      <c r="P14" s="428"/>
      <c r="Q14" s="429"/>
      <c r="R14" s="430"/>
      <c r="S14" s="428"/>
      <c r="T14" s="429"/>
      <c r="U14" s="430"/>
      <c r="V14" s="444"/>
      <c r="W14" s="444"/>
      <c r="X14" s="444"/>
      <c r="Y14" s="444"/>
      <c r="Z14" s="444"/>
      <c r="AA14" s="444"/>
      <c r="AB14" s="444"/>
      <c r="AC14" s="444"/>
      <c r="AD14" s="451"/>
      <c r="AE14" s="455"/>
      <c r="AF14" s="456"/>
      <c r="AG14" s="456"/>
      <c r="AH14" s="456"/>
      <c r="AI14" s="456"/>
      <c r="AJ14" s="456"/>
      <c r="AK14" s="457"/>
      <c r="AL14" s="459"/>
      <c r="AS14" s="460"/>
      <c r="AT14" s="460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3"/>
      <c r="BX14" s="413"/>
      <c r="BY14" s="448"/>
      <c r="BZ14" s="448"/>
      <c r="CA14" s="413"/>
      <c r="CB14" s="416"/>
    </row>
    <row r="15" spans="1:95" ht="15.95" customHeight="1" x14ac:dyDescent="0.15">
      <c r="A15" s="422"/>
      <c r="B15" s="423"/>
      <c r="C15" s="423"/>
      <c r="D15" s="423"/>
      <c r="E15" s="423"/>
      <c r="F15" s="424"/>
      <c r="G15" s="435"/>
      <c r="H15" s="435"/>
      <c r="I15" s="436"/>
      <c r="J15" s="428"/>
      <c r="K15" s="429"/>
      <c r="L15" s="430"/>
      <c r="M15" s="428"/>
      <c r="N15" s="429"/>
      <c r="O15" s="430"/>
      <c r="P15" s="428"/>
      <c r="Q15" s="429"/>
      <c r="R15" s="430"/>
      <c r="S15" s="428"/>
      <c r="T15" s="429"/>
      <c r="U15" s="430"/>
      <c r="V15" s="444"/>
      <c r="W15" s="444"/>
      <c r="X15" s="444"/>
      <c r="Y15" s="444"/>
      <c r="Z15" s="444"/>
      <c r="AA15" s="444"/>
      <c r="AB15" s="444"/>
      <c r="AC15" s="444"/>
      <c r="AD15" s="451"/>
      <c r="AE15" s="455"/>
      <c r="AF15" s="456"/>
      <c r="AG15" s="456"/>
      <c r="AH15" s="456"/>
      <c r="AI15" s="456"/>
      <c r="AJ15" s="456"/>
      <c r="AK15" s="457"/>
      <c r="AL15" s="459"/>
      <c r="AS15" s="460"/>
      <c r="AT15" s="460"/>
      <c r="AZ15" s="84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85"/>
      <c r="BW15" s="85"/>
      <c r="BX15" s="414"/>
      <c r="BY15" s="441"/>
      <c r="BZ15" s="441"/>
      <c r="CA15" s="414"/>
      <c r="CB15" s="417"/>
    </row>
    <row r="16" spans="1:95" ht="15.95" customHeight="1" x14ac:dyDescent="0.15">
      <c r="A16" s="425"/>
      <c r="B16" s="426"/>
      <c r="C16" s="426"/>
      <c r="D16" s="426"/>
      <c r="E16" s="426"/>
      <c r="F16" s="427"/>
      <c r="G16" s="438"/>
      <c r="H16" s="438"/>
      <c r="I16" s="439"/>
      <c r="J16" s="376"/>
      <c r="K16" s="79" t="s">
        <v>38</v>
      </c>
      <c r="L16" s="377"/>
      <c r="M16" s="376"/>
      <c r="N16" s="79" t="s">
        <v>38</v>
      </c>
      <c r="O16" s="377"/>
      <c r="P16" s="376"/>
      <c r="Q16" s="79" t="s">
        <v>38</v>
      </c>
      <c r="R16" s="377"/>
      <c r="S16" s="376"/>
      <c r="T16" s="79" t="s">
        <v>38</v>
      </c>
      <c r="U16" s="377"/>
      <c r="V16" s="444"/>
      <c r="W16" s="444"/>
      <c r="X16" s="444"/>
      <c r="Y16" s="444"/>
      <c r="Z16" s="444"/>
      <c r="AA16" s="444"/>
      <c r="AB16" s="444"/>
      <c r="AC16" s="444"/>
      <c r="AD16" s="451"/>
      <c r="AE16" s="455"/>
      <c r="AF16" s="456"/>
      <c r="AG16" s="456"/>
      <c r="AH16" s="456"/>
      <c r="AI16" s="456"/>
      <c r="AJ16" s="456"/>
      <c r="AK16" s="457"/>
      <c r="AL16" s="459"/>
      <c r="AS16" s="460"/>
      <c r="AT16" s="460"/>
      <c r="AZ16" s="86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8"/>
      <c r="BW16" s="88"/>
      <c r="BX16" s="415"/>
      <c r="BY16" s="449"/>
      <c r="BZ16" s="449"/>
      <c r="CA16" s="415"/>
      <c r="CB16" s="418"/>
    </row>
    <row r="17" spans="1:80" ht="15.95" customHeight="1" x14ac:dyDescent="0.15">
      <c r="A17" s="419" t="str">
        <f>'5チーム2回戦総当たりスケジュール作業表'!$X$7</f>
        <v>Etelia</v>
      </c>
      <c r="B17" s="420"/>
      <c r="C17" s="420"/>
      <c r="D17" s="420"/>
      <c r="E17" s="420"/>
      <c r="F17" s="421"/>
      <c r="G17" s="428"/>
      <c r="H17" s="429"/>
      <c r="I17" s="430"/>
      <c r="J17" s="431"/>
      <c r="K17" s="432"/>
      <c r="L17" s="433"/>
      <c r="M17" s="428"/>
      <c r="N17" s="429"/>
      <c r="O17" s="430"/>
      <c r="P17" s="428"/>
      <c r="Q17" s="429"/>
      <c r="R17" s="430"/>
      <c r="S17" s="428"/>
      <c r="T17" s="429"/>
      <c r="U17" s="430"/>
      <c r="V17" s="445">
        <f>SUM(W17:Y22)</f>
        <v>0</v>
      </c>
      <c r="W17" s="445">
        <f>COUNTIF($G17:$U22,"○")</f>
        <v>0</v>
      </c>
      <c r="X17" s="445">
        <f>COUNTIF($G17:$U22,"△")</f>
        <v>0</v>
      </c>
      <c r="Y17" s="445">
        <f>COUNTIF($G17:$U22,"●")</f>
        <v>0</v>
      </c>
      <c r="Z17" s="445">
        <f t="shared" ref="Z17" si="1">SUM(G19,J19,M19,P19,S19,G22,J22,M22,P22,S22)</f>
        <v>0</v>
      </c>
      <c r="AA17" s="445">
        <f t="shared" ref="AA17" si="2">SUM(I19,L19,O19,R19,U19,I22,L22,O22,R22,U22)</f>
        <v>0</v>
      </c>
      <c r="AB17" s="445">
        <f>Z17-AA17</f>
        <v>0</v>
      </c>
      <c r="AC17" s="445">
        <f>W17*3+X17*1</f>
        <v>0</v>
      </c>
      <c r="AD17" s="463">
        <f t="shared" ref="AD17" si="3">IF($A$9&lt;1,"",RANK(AS17,$AS$11:$AT$40,0))</f>
        <v>1</v>
      </c>
      <c r="AE17" s="464" t="str">
        <f>A17</f>
        <v>Etelia</v>
      </c>
      <c r="AF17" s="464"/>
      <c r="AG17" s="464"/>
      <c r="AH17" s="464"/>
      <c r="AI17" s="464"/>
      <c r="AJ17" s="464"/>
      <c r="AK17" s="464"/>
      <c r="AL17" s="465">
        <f t="shared" ref="AL17" si="4">IF($A$9&lt;1,"",CB17)</f>
        <v>1</v>
      </c>
      <c r="AS17" s="460">
        <f>AC17*100+AB17+Z17/100</f>
        <v>0</v>
      </c>
      <c r="AT17" s="460"/>
      <c r="AZ17" s="89" t="s">
        <v>36</v>
      </c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90">
        <f t="shared" si="0"/>
        <v>0</v>
      </c>
      <c r="BW17" s="90">
        <f>BV17*1</f>
        <v>0</v>
      </c>
      <c r="BX17" s="446">
        <f>SUM(BW17:BW19)</f>
        <v>0</v>
      </c>
      <c r="BY17" s="448"/>
      <c r="BZ17" s="448"/>
      <c r="CA17" s="446">
        <f>SUM(BX17:BZ19)</f>
        <v>0</v>
      </c>
      <c r="CB17" s="461">
        <f>RANK(CA17,$CA$11:$CA$37,1)</f>
        <v>1</v>
      </c>
    </row>
    <row r="18" spans="1:80" ht="15.95" customHeight="1" x14ac:dyDescent="0.15">
      <c r="A18" s="422"/>
      <c r="B18" s="423"/>
      <c r="C18" s="423"/>
      <c r="D18" s="423"/>
      <c r="E18" s="423"/>
      <c r="F18" s="424"/>
      <c r="G18" s="428"/>
      <c r="H18" s="429"/>
      <c r="I18" s="430"/>
      <c r="J18" s="434"/>
      <c r="K18" s="435"/>
      <c r="L18" s="436"/>
      <c r="M18" s="428"/>
      <c r="N18" s="429"/>
      <c r="O18" s="430"/>
      <c r="P18" s="428"/>
      <c r="Q18" s="429"/>
      <c r="R18" s="430"/>
      <c r="S18" s="428"/>
      <c r="T18" s="429"/>
      <c r="U18" s="430"/>
      <c r="V18" s="445"/>
      <c r="W18" s="445"/>
      <c r="X18" s="445"/>
      <c r="Y18" s="445"/>
      <c r="Z18" s="445"/>
      <c r="AA18" s="445"/>
      <c r="AB18" s="445"/>
      <c r="AC18" s="445"/>
      <c r="AD18" s="463"/>
      <c r="AE18" s="464"/>
      <c r="AF18" s="464"/>
      <c r="AG18" s="464"/>
      <c r="AH18" s="464"/>
      <c r="AI18" s="464"/>
      <c r="AJ18" s="464"/>
      <c r="AK18" s="464"/>
      <c r="AL18" s="465"/>
      <c r="AS18" s="460"/>
      <c r="AT18" s="460"/>
      <c r="AZ18" s="75" t="s">
        <v>37</v>
      </c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7">
        <f t="shared" ref="BV18:BV37" si="5">SUM(BA18:BU18)</f>
        <v>0</v>
      </c>
      <c r="BW18" s="77">
        <f>BV18*5</f>
        <v>0</v>
      </c>
      <c r="BX18" s="440"/>
      <c r="BY18" s="441"/>
      <c r="BZ18" s="441"/>
      <c r="CA18" s="440"/>
      <c r="CB18" s="442"/>
    </row>
    <row r="19" spans="1:80" ht="15.95" customHeight="1" x14ac:dyDescent="0.15">
      <c r="A19" s="422"/>
      <c r="B19" s="423"/>
      <c r="C19" s="423"/>
      <c r="D19" s="423"/>
      <c r="E19" s="423"/>
      <c r="F19" s="424"/>
      <c r="G19" s="376"/>
      <c r="H19" s="79" t="s">
        <v>38</v>
      </c>
      <c r="I19" s="377"/>
      <c r="J19" s="437"/>
      <c r="K19" s="438"/>
      <c r="L19" s="439"/>
      <c r="M19" s="376"/>
      <c r="N19" s="79" t="s">
        <v>38</v>
      </c>
      <c r="O19" s="377"/>
      <c r="P19" s="376"/>
      <c r="Q19" s="79" t="s">
        <v>38</v>
      </c>
      <c r="R19" s="377"/>
      <c r="S19" s="376"/>
      <c r="T19" s="79" t="s">
        <v>38</v>
      </c>
      <c r="U19" s="377"/>
      <c r="V19" s="445"/>
      <c r="W19" s="445"/>
      <c r="X19" s="445"/>
      <c r="Y19" s="445"/>
      <c r="Z19" s="445"/>
      <c r="AA19" s="445"/>
      <c r="AB19" s="445"/>
      <c r="AC19" s="445"/>
      <c r="AD19" s="463"/>
      <c r="AE19" s="464"/>
      <c r="AF19" s="464"/>
      <c r="AG19" s="464"/>
      <c r="AH19" s="464"/>
      <c r="AI19" s="464"/>
      <c r="AJ19" s="464"/>
      <c r="AK19" s="464"/>
      <c r="AL19" s="465"/>
      <c r="AS19" s="460"/>
      <c r="AT19" s="460"/>
      <c r="AZ19" s="91" t="s">
        <v>39</v>
      </c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92">
        <f t="shared" si="5"/>
        <v>0</v>
      </c>
      <c r="BW19" s="92">
        <f>BV19*10</f>
        <v>0</v>
      </c>
      <c r="BX19" s="447"/>
      <c r="BY19" s="449"/>
      <c r="BZ19" s="449"/>
      <c r="CA19" s="447"/>
      <c r="CB19" s="462"/>
    </row>
    <row r="20" spans="1:80" ht="15.95" customHeight="1" x14ac:dyDescent="0.15">
      <c r="A20" s="422"/>
      <c r="B20" s="423"/>
      <c r="C20" s="423"/>
      <c r="D20" s="423"/>
      <c r="E20" s="423"/>
      <c r="F20" s="424"/>
      <c r="G20" s="428"/>
      <c r="H20" s="429"/>
      <c r="I20" s="430"/>
      <c r="J20" s="431"/>
      <c r="K20" s="432"/>
      <c r="L20" s="433"/>
      <c r="M20" s="428"/>
      <c r="N20" s="429"/>
      <c r="O20" s="430"/>
      <c r="P20" s="428"/>
      <c r="Q20" s="429"/>
      <c r="R20" s="430"/>
      <c r="S20" s="428"/>
      <c r="T20" s="429"/>
      <c r="U20" s="430"/>
      <c r="V20" s="445"/>
      <c r="W20" s="445"/>
      <c r="X20" s="445"/>
      <c r="Y20" s="445"/>
      <c r="Z20" s="445"/>
      <c r="AA20" s="445"/>
      <c r="AB20" s="445"/>
      <c r="AC20" s="445"/>
      <c r="AD20" s="463"/>
      <c r="AE20" s="464">
        <f>A20</f>
        <v>0</v>
      </c>
      <c r="AF20" s="464"/>
      <c r="AG20" s="464"/>
      <c r="AH20" s="464"/>
      <c r="AI20" s="464"/>
      <c r="AJ20" s="464"/>
      <c r="AK20" s="464"/>
      <c r="AL20" s="465"/>
      <c r="AS20" s="460"/>
      <c r="AT20" s="460"/>
      <c r="AZ20" s="81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3"/>
      <c r="BW20" s="83"/>
      <c r="BX20" s="413"/>
      <c r="BY20" s="448"/>
      <c r="BZ20" s="448"/>
      <c r="CA20" s="413"/>
      <c r="CB20" s="416"/>
    </row>
    <row r="21" spans="1:80" ht="15.95" customHeight="1" x14ac:dyDescent="0.15">
      <c r="A21" s="422"/>
      <c r="B21" s="423"/>
      <c r="C21" s="423"/>
      <c r="D21" s="423"/>
      <c r="E21" s="423"/>
      <c r="F21" s="424"/>
      <c r="G21" s="428"/>
      <c r="H21" s="429"/>
      <c r="I21" s="430"/>
      <c r="J21" s="434"/>
      <c r="K21" s="435"/>
      <c r="L21" s="436"/>
      <c r="M21" s="428"/>
      <c r="N21" s="429"/>
      <c r="O21" s="430"/>
      <c r="P21" s="428"/>
      <c r="Q21" s="429"/>
      <c r="R21" s="430"/>
      <c r="S21" s="428"/>
      <c r="T21" s="429"/>
      <c r="U21" s="430"/>
      <c r="V21" s="445"/>
      <c r="W21" s="445"/>
      <c r="X21" s="445"/>
      <c r="Y21" s="445"/>
      <c r="Z21" s="445"/>
      <c r="AA21" s="445"/>
      <c r="AB21" s="445"/>
      <c r="AC21" s="445"/>
      <c r="AD21" s="463"/>
      <c r="AE21" s="464"/>
      <c r="AF21" s="464"/>
      <c r="AG21" s="464"/>
      <c r="AH21" s="464"/>
      <c r="AI21" s="464"/>
      <c r="AJ21" s="464"/>
      <c r="AK21" s="464"/>
      <c r="AL21" s="465"/>
      <c r="AS21" s="460"/>
      <c r="AT21" s="460"/>
      <c r="AZ21" s="84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85"/>
      <c r="BW21" s="85"/>
      <c r="BX21" s="414"/>
      <c r="BY21" s="441"/>
      <c r="BZ21" s="441"/>
      <c r="CA21" s="414"/>
      <c r="CB21" s="417"/>
    </row>
    <row r="22" spans="1:80" ht="15.95" customHeight="1" x14ac:dyDescent="0.15">
      <c r="A22" s="425"/>
      <c r="B22" s="426"/>
      <c r="C22" s="426"/>
      <c r="D22" s="426"/>
      <c r="E22" s="426"/>
      <c r="F22" s="427"/>
      <c r="G22" s="376"/>
      <c r="H22" s="79" t="s">
        <v>38</v>
      </c>
      <c r="I22" s="377"/>
      <c r="J22" s="437"/>
      <c r="K22" s="438"/>
      <c r="L22" s="439"/>
      <c r="M22" s="376"/>
      <c r="N22" s="79" t="s">
        <v>38</v>
      </c>
      <c r="O22" s="377"/>
      <c r="P22" s="376"/>
      <c r="Q22" s="79" t="s">
        <v>38</v>
      </c>
      <c r="R22" s="377"/>
      <c r="S22" s="376"/>
      <c r="T22" s="79" t="s">
        <v>38</v>
      </c>
      <c r="U22" s="377"/>
      <c r="V22" s="445"/>
      <c r="W22" s="445"/>
      <c r="X22" s="445"/>
      <c r="Y22" s="445"/>
      <c r="Z22" s="445"/>
      <c r="AA22" s="445"/>
      <c r="AB22" s="445"/>
      <c r="AC22" s="445"/>
      <c r="AD22" s="463"/>
      <c r="AE22" s="464"/>
      <c r="AF22" s="464"/>
      <c r="AG22" s="464"/>
      <c r="AH22" s="464"/>
      <c r="AI22" s="464"/>
      <c r="AJ22" s="464"/>
      <c r="AK22" s="464"/>
      <c r="AL22" s="465"/>
      <c r="AS22" s="460"/>
      <c r="AT22" s="460"/>
      <c r="AZ22" s="86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8"/>
      <c r="BW22" s="88"/>
      <c r="BX22" s="415"/>
      <c r="BY22" s="449"/>
      <c r="BZ22" s="449"/>
      <c r="CA22" s="415"/>
      <c r="CB22" s="418"/>
    </row>
    <row r="23" spans="1:80" ht="15.95" customHeight="1" x14ac:dyDescent="0.15">
      <c r="A23" s="419" t="str">
        <f>'5チーム2回戦総当たりスケジュール作業表'!$X$8</f>
        <v>うなぎ</v>
      </c>
      <c r="B23" s="420"/>
      <c r="C23" s="420"/>
      <c r="D23" s="420"/>
      <c r="E23" s="420"/>
      <c r="F23" s="421"/>
      <c r="G23" s="428"/>
      <c r="H23" s="429"/>
      <c r="I23" s="430"/>
      <c r="J23" s="428"/>
      <c r="K23" s="429"/>
      <c r="L23" s="430"/>
      <c r="M23" s="431"/>
      <c r="N23" s="432"/>
      <c r="O23" s="433"/>
      <c r="P23" s="428"/>
      <c r="Q23" s="429"/>
      <c r="R23" s="430"/>
      <c r="S23" s="428"/>
      <c r="T23" s="429"/>
      <c r="U23" s="430"/>
      <c r="V23" s="445">
        <f>SUM(W23:Y28)</f>
        <v>0</v>
      </c>
      <c r="W23" s="445">
        <f>COUNTIF($G23:$U28,"○")</f>
        <v>0</v>
      </c>
      <c r="X23" s="445">
        <f>COUNTIF($G23:$U28,"△")</f>
        <v>0</v>
      </c>
      <c r="Y23" s="445">
        <f>COUNTIF($G23:$U28,"●")</f>
        <v>0</v>
      </c>
      <c r="Z23" s="445">
        <f t="shared" ref="Z23" si="6">SUM(G25,J25,M25,P25,S25,G28,J28,M28,P28,S28)</f>
        <v>0</v>
      </c>
      <c r="AA23" s="445">
        <f t="shared" ref="AA23" si="7">SUM(I25,L25,O25,R25,U25,I28,L28,O28,R28,U28)</f>
        <v>0</v>
      </c>
      <c r="AB23" s="445">
        <f>Z23-AA23</f>
        <v>0</v>
      </c>
      <c r="AC23" s="445">
        <f>W23*3+X23*1</f>
        <v>0</v>
      </c>
      <c r="AD23" s="463">
        <f t="shared" ref="AD23" si="8">IF($A$9&lt;1,"",RANK(AS23,$AS$11:$AT$40,0))</f>
        <v>1</v>
      </c>
      <c r="AE23" s="464" t="str">
        <f>A23</f>
        <v>うなぎ</v>
      </c>
      <c r="AF23" s="464"/>
      <c r="AG23" s="464"/>
      <c r="AH23" s="464"/>
      <c r="AI23" s="464"/>
      <c r="AJ23" s="464"/>
      <c r="AK23" s="464"/>
      <c r="AL23" s="465">
        <f t="shared" ref="AL23" si="9">IF($A$9&lt;1,"",CB23)</f>
        <v>1</v>
      </c>
      <c r="AS23" s="460">
        <f>AC23*100+AB23+Z23/100</f>
        <v>0</v>
      </c>
      <c r="AT23" s="460"/>
      <c r="AZ23" s="89" t="s">
        <v>36</v>
      </c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90">
        <f t="shared" si="5"/>
        <v>0</v>
      </c>
      <c r="BW23" s="90">
        <f>BV23*1</f>
        <v>0</v>
      </c>
      <c r="BX23" s="446">
        <f>SUM(BW23:BW25)</f>
        <v>0</v>
      </c>
      <c r="BY23" s="448"/>
      <c r="BZ23" s="448"/>
      <c r="CA23" s="446">
        <f>SUM(BX23:BZ25)</f>
        <v>0</v>
      </c>
      <c r="CB23" s="461">
        <f>RANK(CA23,$CA$11:$CA$37,1)</f>
        <v>1</v>
      </c>
    </row>
    <row r="24" spans="1:80" ht="15.95" customHeight="1" x14ac:dyDescent="0.15">
      <c r="A24" s="422"/>
      <c r="B24" s="423"/>
      <c r="C24" s="423"/>
      <c r="D24" s="423"/>
      <c r="E24" s="423"/>
      <c r="F24" s="424"/>
      <c r="G24" s="428"/>
      <c r="H24" s="429"/>
      <c r="I24" s="430"/>
      <c r="J24" s="428"/>
      <c r="K24" s="429"/>
      <c r="L24" s="430"/>
      <c r="M24" s="434"/>
      <c r="N24" s="435"/>
      <c r="O24" s="436"/>
      <c r="P24" s="428"/>
      <c r="Q24" s="429"/>
      <c r="R24" s="430"/>
      <c r="S24" s="428"/>
      <c r="T24" s="429"/>
      <c r="U24" s="430"/>
      <c r="V24" s="445"/>
      <c r="W24" s="445"/>
      <c r="X24" s="445"/>
      <c r="Y24" s="445"/>
      <c r="Z24" s="445"/>
      <c r="AA24" s="445"/>
      <c r="AB24" s="445"/>
      <c r="AC24" s="445"/>
      <c r="AD24" s="463"/>
      <c r="AE24" s="464"/>
      <c r="AF24" s="464"/>
      <c r="AG24" s="464"/>
      <c r="AH24" s="464"/>
      <c r="AI24" s="464"/>
      <c r="AJ24" s="464"/>
      <c r="AK24" s="464"/>
      <c r="AL24" s="465"/>
      <c r="AS24" s="460"/>
      <c r="AT24" s="460"/>
      <c r="AZ24" s="75" t="s">
        <v>37</v>
      </c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>
        <f t="shared" si="5"/>
        <v>0</v>
      </c>
      <c r="BW24" s="77">
        <f>BV24*5</f>
        <v>0</v>
      </c>
      <c r="BX24" s="440"/>
      <c r="BY24" s="441"/>
      <c r="BZ24" s="441"/>
      <c r="CA24" s="440"/>
      <c r="CB24" s="442"/>
    </row>
    <row r="25" spans="1:80" ht="15.95" customHeight="1" x14ac:dyDescent="0.15">
      <c r="A25" s="422"/>
      <c r="B25" s="423"/>
      <c r="C25" s="423"/>
      <c r="D25" s="423"/>
      <c r="E25" s="423"/>
      <c r="F25" s="424"/>
      <c r="G25" s="376"/>
      <c r="H25" s="79" t="s">
        <v>38</v>
      </c>
      <c r="I25" s="377"/>
      <c r="J25" s="376"/>
      <c r="K25" s="79" t="s">
        <v>38</v>
      </c>
      <c r="L25" s="377"/>
      <c r="M25" s="437"/>
      <c r="N25" s="438"/>
      <c r="O25" s="439"/>
      <c r="P25" s="376"/>
      <c r="Q25" s="79" t="s">
        <v>38</v>
      </c>
      <c r="R25" s="377"/>
      <c r="S25" s="376"/>
      <c r="T25" s="79" t="s">
        <v>38</v>
      </c>
      <c r="U25" s="377"/>
      <c r="V25" s="445"/>
      <c r="W25" s="445"/>
      <c r="X25" s="445"/>
      <c r="Y25" s="445"/>
      <c r="Z25" s="445"/>
      <c r="AA25" s="445"/>
      <c r="AB25" s="445"/>
      <c r="AC25" s="445"/>
      <c r="AD25" s="463"/>
      <c r="AE25" s="464"/>
      <c r="AF25" s="464"/>
      <c r="AG25" s="464"/>
      <c r="AH25" s="464"/>
      <c r="AI25" s="464"/>
      <c r="AJ25" s="464"/>
      <c r="AK25" s="464"/>
      <c r="AL25" s="465"/>
      <c r="AS25" s="460"/>
      <c r="AT25" s="460"/>
      <c r="AZ25" s="91" t="s">
        <v>39</v>
      </c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92">
        <f t="shared" si="5"/>
        <v>0</v>
      </c>
      <c r="BW25" s="92">
        <f>BV25*10</f>
        <v>0</v>
      </c>
      <c r="BX25" s="447"/>
      <c r="BY25" s="449"/>
      <c r="BZ25" s="449"/>
      <c r="CA25" s="447"/>
      <c r="CB25" s="462"/>
    </row>
    <row r="26" spans="1:80" ht="15.95" customHeight="1" x14ac:dyDescent="0.15">
      <c r="A26" s="422"/>
      <c r="B26" s="423"/>
      <c r="C26" s="423"/>
      <c r="D26" s="423"/>
      <c r="E26" s="423"/>
      <c r="F26" s="424"/>
      <c r="G26" s="428"/>
      <c r="H26" s="429"/>
      <c r="I26" s="430"/>
      <c r="J26" s="428"/>
      <c r="K26" s="429"/>
      <c r="L26" s="430"/>
      <c r="M26" s="431"/>
      <c r="N26" s="432"/>
      <c r="O26" s="433"/>
      <c r="P26" s="428"/>
      <c r="Q26" s="429"/>
      <c r="R26" s="430"/>
      <c r="S26" s="428"/>
      <c r="T26" s="429"/>
      <c r="U26" s="430"/>
      <c r="V26" s="445"/>
      <c r="W26" s="445"/>
      <c r="X26" s="445"/>
      <c r="Y26" s="445"/>
      <c r="Z26" s="445"/>
      <c r="AA26" s="445"/>
      <c r="AB26" s="445"/>
      <c r="AC26" s="445"/>
      <c r="AD26" s="463"/>
      <c r="AE26" s="464">
        <f>A26</f>
        <v>0</v>
      </c>
      <c r="AF26" s="464"/>
      <c r="AG26" s="464"/>
      <c r="AH26" s="464"/>
      <c r="AI26" s="464"/>
      <c r="AJ26" s="464"/>
      <c r="AK26" s="464"/>
      <c r="AL26" s="465"/>
      <c r="AS26" s="460"/>
      <c r="AT26" s="460"/>
      <c r="AZ26" s="84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85"/>
      <c r="BW26" s="85"/>
      <c r="BX26" s="414"/>
      <c r="BY26" s="441"/>
      <c r="BZ26" s="441"/>
      <c r="CA26" s="414"/>
      <c r="CB26" s="417"/>
    </row>
    <row r="27" spans="1:80" ht="15.95" customHeight="1" x14ac:dyDescent="0.15">
      <c r="A27" s="422"/>
      <c r="B27" s="423"/>
      <c r="C27" s="423"/>
      <c r="D27" s="423"/>
      <c r="E27" s="423"/>
      <c r="F27" s="424"/>
      <c r="G27" s="428"/>
      <c r="H27" s="429"/>
      <c r="I27" s="430"/>
      <c r="J27" s="428"/>
      <c r="K27" s="429"/>
      <c r="L27" s="430"/>
      <c r="M27" s="434"/>
      <c r="N27" s="435"/>
      <c r="O27" s="436"/>
      <c r="P27" s="428"/>
      <c r="Q27" s="429"/>
      <c r="R27" s="430"/>
      <c r="S27" s="428"/>
      <c r="T27" s="429"/>
      <c r="U27" s="430"/>
      <c r="V27" s="445"/>
      <c r="W27" s="445"/>
      <c r="X27" s="445"/>
      <c r="Y27" s="445"/>
      <c r="Z27" s="445"/>
      <c r="AA27" s="445"/>
      <c r="AB27" s="445"/>
      <c r="AC27" s="445"/>
      <c r="AD27" s="463"/>
      <c r="AE27" s="464"/>
      <c r="AF27" s="464"/>
      <c r="AG27" s="464"/>
      <c r="AH27" s="464"/>
      <c r="AI27" s="464"/>
      <c r="AJ27" s="464"/>
      <c r="AK27" s="464"/>
      <c r="AL27" s="465"/>
      <c r="AS27" s="460"/>
      <c r="AT27" s="460"/>
      <c r="AZ27" s="84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85"/>
      <c r="BW27" s="85"/>
      <c r="BX27" s="414"/>
      <c r="BY27" s="441"/>
      <c r="BZ27" s="441"/>
      <c r="CA27" s="414"/>
      <c r="CB27" s="417"/>
    </row>
    <row r="28" spans="1:80" ht="15.95" customHeight="1" x14ac:dyDescent="0.15">
      <c r="A28" s="425"/>
      <c r="B28" s="426"/>
      <c r="C28" s="426"/>
      <c r="D28" s="426"/>
      <c r="E28" s="426"/>
      <c r="F28" s="427"/>
      <c r="G28" s="376"/>
      <c r="H28" s="79" t="s">
        <v>38</v>
      </c>
      <c r="I28" s="377"/>
      <c r="J28" s="376"/>
      <c r="K28" s="79" t="s">
        <v>38</v>
      </c>
      <c r="L28" s="377"/>
      <c r="M28" s="437"/>
      <c r="N28" s="438"/>
      <c r="O28" s="439"/>
      <c r="P28" s="376"/>
      <c r="Q28" s="79" t="s">
        <v>38</v>
      </c>
      <c r="R28" s="377"/>
      <c r="S28" s="376"/>
      <c r="T28" s="79" t="s">
        <v>38</v>
      </c>
      <c r="U28" s="377"/>
      <c r="V28" s="445"/>
      <c r="W28" s="445"/>
      <c r="X28" s="445"/>
      <c r="Y28" s="445"/>
      <c r="Z28" s="445"/>
      <c r="AA28" s="445"/>
      <c r="AB28" s="445"/>
      <c r="AC28" s="445"/>
      <c r="AD28" s="463"/>
      <c r="AE28" s="464"/>
      <c r="AF28" s="464"/>
      <c r="AG28" s="464"/>
      <c r="AH28" s="464"/>
      <c r="AI28" s="464"/>
      <c r="AJ28" s="464"/>
      <c r="AK28" s="464"/>
      <c r="AL28" s="465"/>
      <c r="AS28" s="460"/>
      <c r="AT28" s="460"/>
      <c r="AZ28" s="84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85"/>
      <c r="BW28" s="85"/>
      <c r="BX28" s="414"/>
      <c r="BY28" s="441"/>
      <c r="BZ28" s="441"/>
      <c r="CA28" s="414"/>
      <c r="CB28" s="417"/>
    </row>
    <row r="29" spans="1:80" ht="15.95" customHeight="1" x14ac:dyDescent="0.15">
      <c r="A29" s="419" t="str">
        <f>'5チーム2回戦総当たりスケジュール作業表'!$X$9</f>
        <v>飛杉田新地</v>
      </c>
      <c r="B29" s="420"/>
      <c r="C29" s="420"/>
      <c r="D29" s="420"/>
      <c r="E29" s="420"/>
      <c r="F29" s="421"/>
      <c r="G29" s="428"/>
      <c r="H29" s="429"/>
      <c r="I29" s="430"/>
      <c r="J29" s="428"/>
      <c r="K29" s="429"/>
      <c r="L29" s="430"/>
      <c r="M29" s="428"/>
      <c r="N29" s="429"/>
      <c r="O29" s="430"/>
      <c r="P29" s="431"/>
      <c r="Q29" s="432"/>
      <c r="R29" s="433"/>
      <c r="S29" s="428"/>
      <c r="T29" s="429"/>
      <c r="U29" s="430"/>
      <c r="V29" s="445">
        <f>SUM(W29:Y31)</f>
        <v>0</v>
      </c>
      <c r="W29" s="445">
        <f>COUNTIF($G29:$U34,"○")</f>
        <v>0</v>
      </c>
      <c r="X29" s="445">
        <f>COUNTIF($G29:$U34,"△")</f>
        <v>0</v>
      </c>
      <c r="Y29" s="445">
        <f>COUNTIF($G29:$U34,"●")</f>
        <v>0</v>
      </c>
      <c r="Z29" s="445">
        <f t="shared" ref="Z29" si="10">SUM(G31,J31,M31,P31,S31,G34,J34,M34,P34,S34)</f>
        <v>0</v>
      </c>
      <c r="AA29" s="445">
        <f t="shared" ref="AA29" si="11">SUM(I31,L31,O31,R31,U31,I34,L34,O34,R34,U34)</f>
        <v>0</v>
      </c>
      <c r="AB29" s="445">
        <f>Z29-AA29</f>
        <v>0</v>
      </c>
      <c r="AC29" s="445">
        <f>W29*3+X29*1</f>
        <v>0</v>
      </c>
      <c r="AD29" s="463">
        <f t="shared" ref="AD29" si="12">IF($A$9&lt;1,"",RANK(AS29,$AS$11:$AT$40,0))</f>
        <v>1</v>
      </c>
      <c r="AE29" s="464" t="str">
        <f>A29</f>
        <v>飛杉田新地</v>
      </c>
      <c r="AF29" s="464"/>
      <c r="AG29" s="464"/>
      <c r="AH29" s="464"/>
      <c r="AI29" s="464"/>
      <c r="AJ29" s="464"/>
      <c r="AK29" s="464"/>
      <c r="AL29" s="465">
        <f t="shared" ref="AL29" si="13">IF($A$9&lt;1,"",CB29)</f>
        <v>1</v>
      </c>
      <c r="AS29" s="460">
        <f>AC29*100+AB29+Z29/100</f>
        <v>0</v>
      </c>
      <c r="AT29" s="460"/>
      <c r="AZ29" s="89" t="s">
        <v>36</v>
      </c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90">
        <f t="shared" si="5"/>
        <v>0</v>
      </c>
      <c r="BW29" s="90">
        <f>BV29*1</f>
        <v>0</v>
      </c>
      <c r="BX29" s="446">
        <f>SUM(BW29:BW31)</f>
        <v>0</v>
      </c>
      <c r="BY29" s="448"/>
      <c r="BZ29" s="448"/>
      <c r="CA29" s="446">
        <f>SUM(BX29:BZ31)</f>
        <v>0</v>
      </c>
      <c r="CB29" s="461">
        <f>RANK(CA29,$CA$11:$CA$37,1)</f>
        <v>1</v>
      </c>
    </row>
    <row r="30" spans="1:80" ht="15.95" customHeight="1" x14ac:dyDescent="0.15">
      <c r="A30" s="422"/>
      <c r="B30" s="423"/>
      <c r="C30" s="423"/>
      <c r="D30" s="423"/>
      <c r="E30" s="423"/>
      <c r="F30" s="424"/>
      <c r="G30" s="428"/>
      <c r="H30" s="429"/>
      <c r="I30" s="430"/>
      <c r="J30" s="428"/>
      <c r="K30" s="429"/>
      <c r="L30" s="430"/>
      <c r="M30" s="428"/>
      <c r="N30" s="429"/>
      <c r="O30" s="430"/>
      <c r="P30" s="434"/>
      <c r="Q30" s="435"/>
      <c r="R30" s="436"/>
      <c r="S30" s="428"/>
      <c r="T30" s="429"/>
      <c r="U30" s="430"/>
      <c r="V30" s="445"/>
      <c r="W30" s="445"/>
      <c r="X30" s="445"/>
      <c r="Y30" s="445"/>
      <c r="Z30" s="445"/>
      <c r="AA30" s="445"/>
      <c r="AB30" s="445"/>
      <c r="AC30" s="445"/>
      <c r="AD30" s="463"/>
      <c r="AE30" s="464"/>
      <c r="AF30" s="464"/>
      <c r="AG30" s="464"/>
      <c r="AH30" s="464"/>
      <c r="AI30" s="464"/>
      <c r="AJ30" s="464"/>
      <c r="AK30" s="464"/>
      <c r="AL30" s="465"/>
      <c r="AS30" s="460"/>
      <c r="AT30" s="460"/>
      <c r="AZ30" s="75" t="s">
        <v>37</v>
      </c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7">
        <f t="shared" si="5"/>
        <v>0</v>
      </c>
      <c r="BW30" s="77">
        <f>BV30*5</f>
        <v>0</v>
      </c>
      <c r="BX30" s="440"/>
      <c r="BY30" s="441"/>
      <c r="BZ30" s="441"/>
      <c r="CA30" s="440"/>
      <c r="CB30" s="442"/>
    </row>
    <row r="31" spans="1:80" ht="15.95" customHeight="1" x14ac:dyDescent="0.15">
      <c r="A31" s="422"/>
      <c r="B31" s="423"/>
      <c r="C31" s="423"/>
      <c r="D31" s="423"/>
      <c r="E31" s="423"/>
      <c r="F31" s="424"/>
      <c r="G31" s="376"/>
      <c r="H31" s="79" t="s">
        <v>38</v>
      </c>
      <c r="I31" s="377"/>
      <c r="J31" s="376"/>
      <c r="K31" s="79" t="s">
        <v>38</v>
      </c>
      <c r="L31" s="377"/>
      <c r="M31" s="376"/>
      <c r="N31" s="79" t="s">
        <v>38</v>
      </c>
      <c r="O31" s="377"/>
      <c r="P31" s="437"/>
      <c r="Q31" s="438"/>
      <c r="R31" s="439"/>
      <c r="S31" s="376"/>
      <c r="T31" s="79" t="s">
        <v>38</v>
      </c>
      <c r="U31" s="377"/>
      <c r="V31" s="445"/>
      <c r="W31" s="445"/>
      <c r="X31" s="445"/>
      <c r="Y31" s="445"/>
      <c r="Z31" s="445"/>
      <c r="AA31" s="445"/>
      <c r="AB31" s="445"/>
      <c r="AC31" s="445"/>
      <c r="AD31" s="463"/>
      <c r="AE31" s="464"/>
      <c r="AF31" s="464"/>
      <c r="AG31" s="464"/>
      <c r="AH31" s="464"/>
      <c r="AI31" s="464"/>
      <c r="AJ31" s="464"/>
      <c r="AK31" s="464"/>
      <c r="AL31" s="465"/>
      <c r="AS31" s="460"/>
      <c r="AT31" s="460"/>
      <c r="AZ31" s="91" t="s">
        <v>39</v>
      </c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92">
        <f t="shared" si="5"/>
        <v>0</v>
      </c>
      <c r="BW31" s="92">
        <f>BV31*10</f>
        <v>0</v>
      </c>
      <c r="BX31" s="447"/>
      <c r="BY31" s="449"/>
      <c r="BZ31" s="449"/>
      <c r="CA31" s="447"/>
      <c r="CB31" s="462"/>
    </row>
    <row r="32" spans="1:80" ht="15.95" customHeight="1" x14ac:dyDescent="0.15">
      <c r="A32" s="422"/>
      <c r="B32" s="423"/>
      <c r="C32" s="423"/>
      <c r="D32" s="423"/>
      <c r="E32" s="423"/>
      <c r="F32" s="424"/>
      <c r="G32" s="428"/>
      <c r="H32" s="429"/>
      <c r="I32" s="430"/>
      <c r="J32" s="428"/>
      <c r="K32" s="429"/>
      <c r="L32" s="430"/>
      <c r="M32" s="428"/>
      <c r="N32" s="429"/>
      <c r="O32" s="430"/>
      <c r="P32" s="431"/>
      <c r="Q32" s="432"/>
      <c r="R32" s="433"/>
      <c r="S32" s="428"/>
      <c r="T32" s="429"/>
      <c r="U32" s="430"/>
      <c r="V32" s="445"/>
      <c r="W32" s="445"/>
      <c r="X32" s="445"/>
      <c r="Y32" s="445"/>
      <c r="Z32" s="445"/>
      <c r="AA32" s="445"/>
      <c r="AB32" s="445"/>
      <c r="AC32" s="445"/>
      <c r="AD32" s="463"/>
      <c r="AE32" s="464">
        <f>A32</f>
        <v>0</v>
      </c>
      <c r="AF32" s="464"/>
      <c r="AG32" s="464"/>
      <c r="AH32" s="464"/>
      <c r="AI32" s="464"/>
      <c r="AJ32" s="464"/>
      <c r="AK32" s="464"/>
      <c r="AL32" s="465"/>
      <c r="AS32" s="460"/>
      <c r="AT32" s="460"/>
      <c r="AZ32" s="81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3"/>
      <c r="BW32" s="83"/>
      <c r="BX32" s="413"/>
      <c r="BY32" s="448"/>
      <c r="BZ32" s="448"/>
      <c r="CA32" s="413"/>
      <c r="CB32" s="416"/>
    </row>
    <row r="33" spans="1:80" ht="15.95" customHeight="1" x14ac:dyDescent="0.15">
      <c r="A33" s="422"/>
      <c r="B33" s="423"/>
      <c r="C33" s="423"/>
      <c r="D33" s="423"/>
      <c r="E33" s="423"/>
      <c r="F33" s="424"/>
      <c r="G33" s="428"/>
      <c r="H33" s="429"/>
      <c r="I33" s="430"/>
      <c r="J33" s="428"/>
      <c r="K33" s="429"/>
      <c r="L33" s="430"/>
      <c r="M33" s="428"/>
      <c r="N33" s="429"/>
      <c r="O33" s="430"/>
      <c r="P33" s="434"/>
      <c r="Q33" s="435"/>
      <c r="R33" s="436"/>
      <c r="S33" s="428"/>
      <c r="T33" s="429"/>
      <c r="U33" s="430"/>
      <c r="V33" s="445"/>
      <c r="W33" s="445"/>
      <c r="X33" s="445"/>
      <c r="Y33" s="445"/>
      <c r="Z33" s="445"/>
      <c r="AA33" s="445"/>
      <c r="AB33" s="445"/>
      <c r="AC33" s="445"/>
      <c r="AD33" s="463"/>
      <c r="AE33" s="464"/>
      <c r="AF33" s="464"/>
      <c r="AG33" s="464"/>
      <c r="AH33" s="464"/>
      <c r="AI33" s="464"/>
      <c r="AJ33" s="464"/>
      <c r="AK33" s="464"/>
      <c r="AL33" s="465"/>
      <c r="AS33" s="460"/>
      <c r="AT33" s="460"/>
      <c r="AZ33" s="84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85"/>
      <c r="BW33" s="85"/>
      <c r="BX33" s="414"/>
      <c r="BY33" s="441"/>
      <c r="BZ33" s="441"/>
      <c r="CA33" s="414"/>
      <c r="CB33" s="417"/>
    </row>
    <row r="34" spans="1:80" ht="15.95" customHeight="1" x14ac:dyDescent="0.15">
      <c r="A34" s="425"/>
      <c r="B34" s="426"/>
      <c r="C34" s="426"/>
      <c r="D34" s="426"/>
      <c r="E34" s="426"/>
      <c r="F34" s="427"/>
      <c r="G34" s="376"/>
      <c r="H34" s="79" t="s">
        <v>38</v>
      </c>
      <c r="I34" s="377"/>
      <c r="J34" s="376"/>
      <c r="K34" s="79" t="s">
        <v>38</v>
      </c>
      <c r="L34" s="377"/>
      <c r="M34" s="376"/>
      <c r="N34" s="79" t="s">
        <v>38</v>
      </c>
      <c r="O34" s="377"/>
      <c r="P34" s="437"/>
      <c r="Q34" s="438"/>
      <c r="R34" s="439"/>
      <c r="S34" s="376"/>
      <c r="T34" s="79" t="s">
        <v>38</v>
      </c>
      <c r="U34" s="377"/>
      <c r="V34" s="445"/>
      <c r="W34" s="445"/>
      <c r="X34" s="445"/>
      <c r="Y34" s="445"/>
      <c r="Z34" s="445"/>
      <c r="AA34" s="445"/>
      <c r="AB34" s="445"/>
      <c r="AC34" s="445"/>
      <c r="AD34" s="463"/>
      <c r="AE34" s="464"/>
      <c r="AF34" s="464"/>
      <c r="AG34" s="464"/>
      <c r="AH34" s="464"/>
      <c r="AI34" s="464"/>
      <c r="AJ34" s="464"/>
      <c r="AK34" s="464"/>
      <c r="AL34" s="465"/>
      <c r="AS34" s="460"/>
      <c r="AT34" s="460"/>
      <c r="AZ34" s="86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415"/>
      <c r="BY34" s="449"/>
      <c r="BZ34" s="449"/>
      <c r="CA34" s="415"/>
      <c r="CB34" s="418"/>
    </row>
    <row r="35" spans="1:80" ht="15.95" customHeight="1" x14ac:dyDescent="0.15">
      <c r="A35" s="422" t="str">
        <f>'5チーム2回戦総当たりスケジュール作業表'!$X$10</f>
        <v>PURE</v>
      </c>
      <c r="B35" s="423"/>
      <c r="C35" s="423"/>
      <c r="D35" s="423"/>
      <c r="E35" s="423"/>
      <c r="F35" s="424"/>
      <c r="G35" s="428"/>
      <c r="H35" s="429"/>
      <c r="I35" s="430"/>
      <c r="J35" s="428"/>
      <c r="K35" s="429"/>
      <c r="L35" s="430"/>
      <c r="M35" s="428"/>
      <c r="N35" s="429"/>
      <c r="O35" s="430"/>
      <c r="P35" s="428"/>
      <c r="Q35" s="429"/>
      <c r="R35" s="430"/>
      <c r="S35" s="434"/>
      <c r="T35" s="435"/>
      <c r="U35" s="436"/>
      <c r="V35" s="444">
        <f>SUM(W35:Y40)</f>
        <v>0</v>
      </c>
      <c r="W35" s="444">
        <f>COUNTIF($G35:$U40,"○")</f>
        <v>0</v>
      </c>
      <c r="X35" s="444">
        <f>COUNTIF($G35:$U40,"△")</f>
        <v>0</v>
      </c>
      <c r="Y35" s="444">
        <f>COUNTIF($G35:$U40,"●")</f>
        <v>0</v>
      </c>
      <c r="Z35" s="444">
        <f t="shared" ref="Z35" si="14">SUM(G37,J37,M37,P37,S37,G40,J40,M40,P40,S40)</f>
        <v>0</v>
      </c>
      <c r="AA35" s="444">
        <f t="shared" ref="AA35" si="15">SUM(I37,L37,O37,R37,U37,I40,L40,O40,R40,U40)</f>
        <v>0</v>
      </c>
      <c r="AB35" s="444">
        <f>Z35-AA35</f>
        <v>0</v>
      </c>
      <c r="AC35" s="445">
        <f>W35*3+X35*1</f>
        <v>0</v>
      </c>
      <c r="AD35" s="463">
        <f t="shared" ref="AD35" si="16">IF($A$9&lt;1,"",RANK(AS35,$AS$11:$AT$40,0))</f>
        <v>1</v>
      </c>
      <c r="AE35" s="464" t="str">
        <f>A35</f>
        <v>PURE</v>
      </c>
      <c r="AF35" s="464"/>
      <c r="AG35" s="464"/>
      <c r="AH35" s="464"/>
      <c r="AI35" s="464"/>
      <c r="AJ35" s="464"/>
      <c r="AK35" s="464"/>
      <c r="AL35" s="465">
        <f t="shared" ref="AL35" si="17">IF($A$9&lt;1,"",CB35)</f>
        <v>1</v>
      </c>
      <c r="AS35" s="460">
        <f>AC35*100+AB35+Z35/100</f>
        <v>0</v>
      </c>
      <c r="AT35" s="460"/>
      <c r="AZ35" s="89" t="s">
        <v>36</v>
      </c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90">
        <f t="shared" si="5"/>
        <v>0</v>
      </c>
      <c r="BW35" s="90">
        <f>BV35*1</f>
        <v>0</v>
      </c>
      <c r="BX35" s="446">
        <f>SUM(BW35:BW37)</f>
        <v>0</v>
      </c>
      <c r="BY35" s="448"/>
      <c r="BZ35" s="448"/>
      <c r="CA35" s="446">
        <f>SUM(BX35:BZ37)</f>
        <v>0</v>
      </c>
      <c r="CB35" s="461">
        <f>RANK(CA35,$CA$11:$CA$37,1)</f>
        <v>1</v>
      </c>
    </row>
    <row r="36" spans="1:80" ht="15.95" customHeight="1" x14ac:dyDescent="0.15">
      <c r="A36" s="422"/>
      <c r="B36" s="423"/>
      <c r="C36" s="423"/>
      <c r="D36" s="423"/>
      <c r="E36" s="423"/>
      <c r="F36" s="424"/>
      <c r="G36" s="428"/>
      <c r="H36" s="429"/>
      <c r="I36" s="430"/>
      <c r="J36" s="428"/>
      <c r="K36" s="429"/>
      <c r="L36" s="430"/>
      <c r="M36" s="428"/>
      <c r="N36" s="429"/>
      <c r="O36" s="430"/>
      <c r="P36" s="428"/>
      <c r="Q36" s="429"/>
      <c r="R36" s="430"/>
      <c r="S36" s="434"/>
      <c r="T36" s="435"/>
      <c r="U36" s="436"/>
      <c r="V36" s="444"/>
      <c r="W36" s="444"/>
      <c r="X36" s="444"/>
      <c r="Y36" s="444"/>
      <c r="Z36" s="444"/>
      <c r="AA36" s="444"/>
      <c r="AB36" s="444"/>
      <c r="AC36" s="445"/>
      <c r="AD36" s="463"/>
      <c r="AE36" s="464"/>
      <c r="AF36" s="464"/>
      <c r="AG36" s="464"/>
      <c r="AH36" s="464"/>
      <c r="AI36" s="464"/>
      <c r="AJ36" s="464"/>
      <c r="AK36" s="464"/>
      <c r="AL36" s="465"/>
      <c r="AS36" s="460"/>
      <c r="AT36" s="460"/>
      <c r="AZ36" s="75" t="s">
        <v>37</v>
      </c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7">
        <f t="shared" si="5"/>
        <v>0</v>
      </c>
      <c r="BW36" s="77">
        <f>BV36*5</f>
        <v>0</v>
      </c>
      <c r="BX36" s="440"/>
      <c r="BY36" s="441"/>
      <c r="BZ36" s="441"/>
      <c r="CA36" s="440"/>
      <c r="CB36" s="442"/>
    </row>
    <row r="37" spans="1:80" ht="15.95" customHeight="1" x14ac:dyDescent="0.15">
      <c r="A37" s="422"/>
      <c r="B37" s="423"/>
      <c r="C37" s="423"/>
      <c r="D37" s="423"/>
      <c r="E37" s="423"/>
      <c r="F37" s="424"/>
      <c r="G37" s="376"/>
      <c r="H37" s="79" t="s">
        <v>38</v>
      </c>
      <c r="I37" s="377"/>
      <c r="J37" s="376"/>
      <c r="K37" s="79" t="s">
        <v>38</v>
      </c>
      <c r="L37" s="377"/>
      <c r="M37" s="376"/>
      <c r="N37" s="79" t="s">
        <v>38</v>
      </c>
      <c r="O37" s="377"/>
      <c r="P37" s="376"/>
      <c r="Q37" s="79" t="s">
        <v>38</v>
      </c>
      <c r="R37" s="377"/>
      <c r="S37" s="437"/>
      <c r="T37" s="438"/>
      <c r="U37" s="439"/>
      <c r="V37" s="444"/>
      <c r="W37" s="444"/>
      <c r="X37" s="444"/>
      <c r="Y37" s="444"/>
      <c r="Z37" s="444"/>
      <c r="AA37" s="444"/>
      <c r="AB37" s="444"/>
      <c r="AC37" s="445"/>
      <c r="AD37" s="463"/>
      <c r="AE37" s="464"/>
      <c r="AF37" s="464"/>
      <c r="AG37" s="464"/>
      <c r="AH37" s="464"/>
      <c r="AI37" s="464"/>
      <c r="AJ37" s="464"/>
      <c r="AK37" s="464"/>
      <c r="AL37" s="465"/>
      <c r="AS37" s="460"/>
      <c r="AT37" s="460"/>
      <c r="AZ37" s="91" t="s">
        <v>39</v>
      </c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92">
        <f t="shared" si="5"/>
        <v>0</v>
      </c>
      <c r="BW37" s="92">
        <f>BV37*10</f>
        <v>0</v>
      </c>
      <c r="BX37" s="447"/>
      <c r="BY37" s="449"/>
      <c r="BZ37" s="449"/>
      <c r="CA37" s="447"/>
      <c r="CB37" s="462"/>
    </row>
    <row r="38" spans="1:80" ht="15.95" customHeight="1" x14ac:dyDescent="0.15">
      <c r="A38" s="422"/>
      <c r="B38" s="423"/>
      <c r="C38" s="423"/>
      <c r="D38" s="423"/>
      <c r="E38" s="423"/>
      <c r="F38" s="424"/>
      <c r="G38" s="428"/>
      <c r="H38" s="429"/>
      <c r="I38" s="430"/>
      <c r="J38" s="428"/>
      <c r="K38" s="429"/>
      <c r="L38" s="430"/>
      <c r="M38" s="428"/>
      <c r="N38" s="429"/>
      <c r="O38" s="430"/>
      <c r="P38" s="428"/>
      <c r="Q38" s="429"/>
      <c r="R38" s="430"/>
      <c r="S38" s="431"/>
      <c r="T38" s="432"/>
      <c r="U38" s="433"/>
      <c r="V38" s="444"/>
      <c r="W38" s="444"/>
      <c r="X38" s="444"/>
      <c r="Y38" s="444"/>
      <c r="Z38" s="444"/>
      <c r="AA38" s="444"/>
      <c r="AB38" s="444"/>
      <c r="AC38" s="445"/>
      <c r="AD38" s="463"/>
      <c r="AE38" s="464">
        <f>A38</f>
        <v>0</v>
      </c>
      <c r="AF38" s="464"/>
      <c r="AG38" s="464"/>
      <c r="AH38" s="464"/>
      <c r="AI38" s="464"/>
      <c r="AJ38" s="464"/>
      <c r="AK38" s="464"/>
      <c r="AL38" s="465"/>
      <c r="AS38" s="460"/>
      <c r="AT38" s="460"/>
      <c r="AZ38" s="81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3"/>
      <c r="BW38" s="83"/>
      <c r="BX38" s="413"/>
      <c r="BY38" s="448"/>
      <c r="BZ38" s="448"/>
      <c r="CA38" s="413"/>
      <c r="CB38" s="416"/>
    </row>
    <row r="39" spans="1:80" ht="15.95" customHeight="1" x14ac:dyDescent="0.15">
      <c r="A39" s="422"/>
      <c r="B39" s="423"/>
      <c r="C39" s="423"/>
      <c r="D39" s="423"/>
      <c r="E39" s="423"/>
      <c r="F39" s="424"/>
      <c r="G39" s="428"/>
      <c r="H39" s="429"/>
      <c r="I39" s="430"/>
      <c r="J39" s="428"/>
      <c r="K39" s="429"/>
      <c r="L39" s="430"/>
      <c r="M39" s="428"/>
      <c r="N39" s="429"/>
      <c r="O39" s="430"/>
      <c r="P39" s="428"/>
      <c r="Q39" s="429"/>
      <c r="R39" s="430"/>
      <c r="S39" s="434"/>
      <c r="T39" s="435"/>
      <c r="U39" s="436"/>
      <c r="V39" s="444"/>
      <c r="W39" s="444"/>
      <c r="X39" s="444"/>
      <c r="Y39" s="444"/>
      <c r="Z39" s="444"/>
      <c r="AA39" s="444"/>
      <c r="AB39" s="444"/>
      <c r="AC39" s="445"/>
      <c r="AD39" s="463"/>
      <c r="AE39" s="464"/>
      <c r="AF39" s="464"/>
      <c r="AG39" s="464"/>
      <c r="AH39" s="464"/>
      <c r="AI39" s="464"/>
      <c r="AJ39" s="464"/>
      <c r="AK39" s="464"/>
      <c r="AL39" s="465"/>
      <c r="AS39" s="460"/>
      <c r="AT39" s="460"/>
      <c r="AZ39" s="84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85"/>
      <c r="BW39" s="85"/>
      <c r="BX39" s="414"/>
      <c r="BY39" s="441"/>
      <c r="BZ39" s="441"/>
      <c r="CA39" s="414"/>
      <c r="CB39" s="417"/>
    </row>
    <row r="40" spans="1:80" ht="15.95" customHeight="1" x14ac:dyDescent="0.15">
      <c r="A40" s="425"/>
      <c r="B40" s="426"/>
      <c r="C40" s="426"/>
      <c r="D40" s="426"/>
      <c r="E40" s="426"/>
      <c r="F40" s="427"/>
      <c r="G40" s="376"/>
      <c r="H40" s="79" t="s">
        <v>38</v>
      </c>
      <c r="I40" s="377"/>
      <c r="J40" s="376"/>
      <c r="K40" s="79" t="s">
        <v>38</v>
      </c>
      <c r="L40" s="377"/>
      <c r="M40" s="376"/>
      <c r="N40" s="79" t="s">
        <v>38</v>
      </c>
      <c r="O40" s="377"/>
      <c r="P40" s="376"/>
      <c r="Q40" s="79" t="s">
        <v>38</v>
      </c>
      <c r="R40" s="377"/>
      <c r="S40" s="437"/>
      <c r="T40" s="438"/>
      <c r="U40" s="439"/>
      <c r="V40" s="466"/>
      <c r="W40" s="466"/>
      <c r="X40" s="466"/>
      <c r="Y40" s="466"/>
      <c r="Z40" s="466"/>
      <c r="AA40" s="466"/>
      <c r="AB40" s="466"/>
      <c r="AC40" s="445"/>
      <c r="AD40" s="463"/>
      <c r="AE40" s="464"/>
      <c r="AF40" s="464"/>
      <c r="AG40" s="464"/>
      <c r="AH40" s="464"/>
      <c r="AI40" s="464"/>
      <c r="AJ40" s="464"/>
      <c r="AK40" s="464"/>
      <c r="AL40" s="465"/>
      <c r="AS40" s="460"/>
      <c r="AT40" s="460"/>
      <c r="AZ40" s="86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415"/>
      <c r="BY40" s="449"/>
      <c r="BZ40" s="449"/>
      <c r="CA40" s="415"/>
      <c r="CB40" s="418"/>
    </row>
  </sheetData>
  <sheetProtection algorithmName="SHA-512" hashValue="HSEEhAqDaYiwTKSbKclLkYr8+zVz1fdvkpeg2Rp8rLT5cismMuofdIF44ucCr2ESXknaRIKaGpVBFvHIw9shYA==" saltValue="eGd6+5QIVcLKI4QhZegEQw==" spinCount="100000" sheet="1" objects="1" scenarios="1" formatCells="0"/>
  <mergeCells count="194">
    <mergeCell ref="CA35:CA37"/>
    <mergeCell ref="CB35:CB37"/>
    <mergeCell ref="AA35:AA40"/>
    <mergeCell ref="AB35:AB40"/>
    <mergeCell ref="AC35:AC40"/>
    <mergeCell ref="AD35:AD40"/>
    <mergeCell ref="AE35:AK40"/>
    <mergeCell ref="AL35:AL40"/>
    <mergeCell ref="BX38:BX40"/>
    <mergeCell ref="BY38:BY40"/>
    <mergeCell ref="BZ38:BZ40"/>
    <mergeCell ref="CA38:CA40"/>
    <mergeCell ref="CB38:CB40"/>
    <mergeCell ref="AS38:AT40"/>
    <mergeCell ref="S35:U37"/>
    <mergeCell ref="V35:V40"/>
    <mergeCell ref="W35:W40"/>
    <mergeCell ref="X35:X40"/>
    <mergeCell ref="Y35:Y40"/>
    <mergeCell ref="Z35:Z40"/>
    <mergeCell ref="BX32:BX34"/>
    <mergeCell ref="BY32:BY34"/>
    <mergeCell ref="BZ32:BZ34"/>
    <mergeCell ref="AS35:AT37"/>
    <mergeCell ref="BX35:BX37"/>
    <mergeCell ref="BY35:BY37"/>
    <mergeCell ref="BZ35:BZ37"/>
    <mergeCell ref="S38:U40"/>
    <mergeCell ref="A35:F40"/>
    <mergeCell ref="G35:I36"/>
    <mergeCell ref="J35:L36"/>
    <mergeCell ref="M35:O36"/>
    <mergeCell ref="P35:R36"/>
    <mergeCell ref="G32:I33"/>
    <mergeCell ref="J32:L33"/>
    <mergeCell ref="M32:O33"/>
    <mergeCell ref="P32:R34"/>
    <mergeCell ref="G38:I39"/>
    <mergeCell ref="J38:L39"/>
    <mergeCell ref="M38:O39"/>
    <mergeCell ref="P38:R39"/>
    <mergeCell ref="A29:F34"/>
    <mergeCell ref="G29:I30"/>
    <mergeCell ref="J29:L30"/>
    <mergeCell ref="M29:O30"/>
    <mergeCell ref="P29:R31"/>
    <mergeCell ref="CA29:CA31"/>
    <mergeCell ref="CB29:CB31"/>
    <mergeCell ref="AA29:AA34"/>
    <mergeCell ref="AB29:AB34"/>
    <mergeCell ref="AC29:AC34"/>
    <mergeCell ref="AD29:AD34"/>
    <mergeCell ref="AE29:AK34"/>
    <mergeCell ref="AL29:AL34"/>
    <mergeCell ref="CA32:CA34"/>
    <mergeCell ref="CB32:CB34"/>
    <mergeCell ref="AS32:AT34"/>
    <mergeCell ref="S29:U30"/>
    <mergeCell ref="V29:V34"/>
    <mergeCell ref="W29:W34"/>
    <mergeCell ref="X29:X34"/>
    <mergeCell ref="Y29:Y34"/>
    <mergeCell ref="Z29:Z34"/>
    <mergeCell ref="BX26:BX28"/>
    <mergeCell ref="BY26:BY28"/>
    <mergeCell ref="BZ26:BZ28"/>
    <mergeCell ref="AS29:AT31"/>
    <mergeCell ref="BX29:BX31"/>
    <mergeCell ref="BY29:BY31"/>
    <mergeCell ref="BZ29:BZ31"/>
    <mergeCell ref="S32:U33"/>
    <mergeCell ref="S26:U27"/>
    <mergeCell ref="CB23:CB25"/>
    <mergeCell ref="AA23:AA28"/>
    <mergeCell ref="AB23:AB28"/>
    <mergeCell ref="AC23:AC28"/>
    <mergeCell ref="AD23:AD28"/>
    <mergeCell ref="AE23:AK28"/>
    <mergeCell ref="AL23:AL28"/>
    <mergeCell ref="CA26:CA28"/>
    <mergeCell ref="CB26:CB28"/>
    <mergeCell ref="AS26:AT28"/>
    <mergeCell ref="AS23:AT25"/>
    <mergeCell ref="BX23:BX25"/>
    <mergeCell ref="BY23:BY25"/>
    <mergeCell ref="BZ23:BZ25"/>
    <mergeCell ref="A23:F28"/>
    <mergeCell ref="G23:I24"/>
    <mergeCell ref="J23:L24"/>
    <mergeCell ref="M23:O25"/>
    <mergeCell ref="P23:R24"/>
    <mergeCell ref="G26:I27"/>
    <mergeCell ref="J26:L27"/>
    <mergeCell ref="M26:O28"/>
    <mergeCell ref="P26:R27"/>
    <mergeCell ref="S23:U24"/>
    <mergeCell ref="V23:V28"/>
    <mergeCell ref="W23:W28"/>
    <mergeCell ref="X23:X28"/>
    <mergeCell ref="Y23:Y28"/>
    <mergeCell ref="Z23:Z28"/>
    <mergeCell ref="BY17:BY19"/>
    <mergeCell ref="BZ17:BZ19"/>
    <mergeCell ref="CA17:CA19"/>
    <mergeCell ref="S20:U21"/>
    <mergeCell ref="CA23:CA25"/>
    <mergeCell ref="CB17:CB19"/>
    <mergeCell ref="AA17:AA22"/>
    <mergeCell ref="AB17:AB22"/>
    <mergeCell ref="AC17:AC22"/>
    <mergeCell ref="AD17:AD22"/>
    <mergeCell ref="AE17:AK22"/>
    <mergeCell ref="AL17:AL22"/>
    <mergeCell ref="CA20:CA22"/>
    <mergeCell ref="CB20:CB22"/>
    <mergeCell ref="AS20:AT22"/>
    <mergeCell ref="BX20:BX22"/>
    <mergeCell ref="BY20:BY22"/>
    <mergeCell ref="BZ20:BZ22"/>
    <mergeCell ref="AS17:AT19"/>
    <mergeCell ref="BY14:BY16"/>
    <mergeCell ref="BZ14:BZ16"/>
    <mergeCell ref="V11:V16"/>
    <mergeCell ref="W11:W16"/>
    <mergeCell ref="X11:X16"/>
    <mergeCell ref="Y11:Y16"/>
    <mergeCell ref="Z11:Z16"/>
    <mergeCell ref="AA11:AA16"/>
    <mergeCell ref="AC11:AC16"/>
    <mergeCell ref="AD11:AD16"/>
    <mergeCell ref="AE11:AK16"/>
    <mergeCell ref="AL11:AL16"/>
    <mergeCell ref="AS11:AT13"/>
    <mergeCell ref="AS14:AT16"/>
    <mergeCell ref="A11:F16"/>
    <mergeCell ref="G11:I13"/>
    <mergeCell ref="J11:L12"/>
    <mergeCell ref="M11:O12"/>
    <mergeCell ref="P11:R12"/>
    <mergeCell ref="S11:U12"/>
    <mergeCell ref="BX14:BX16"/>
    <mergeCell ref="BX17:BX19"/>
    <mergeCell ref="G20:I21"/>
    <mergeCell ref="J20:L22"/>
    <mergeCell ref="M20:O21"/>
    <mergeCell ref="P20:R21"/>
    <mergeCell ref="CA14:CA16"/>
    <mergeCell ref="CB14:CB16"/>
    <mergeCell ref="A17:F22"/>
    <mergeCell ref="G17:I18"/>
    <mergeCell ref="J17:L19"/>
    <mergeCell ref="M17:O18"/>
    <mergeCell ref="P17:R18"/>
    <mergeCell ref="BX11:BX13"/>
    <mergeCell ref="BY11:BY13"/>
    <mergeCell ref="BZ11:BZ13"/>
    <mergeCell ref="CA11:CA13"/>
    <mergeCell ref="CB11:CB13"/>
    <mergeCell ref="G14:I16"/>
    <mergeCell ref="J14:L15"/>
    <mergeCell ref="M14:O15"/>
    <mergeCell ref="P14:R15"/>
    <mergeCell ref="S14:U15"/>
    <mergeCell ref="AB11:AB16"/>
    <mergeCell ref="S17:U18"/>
    <mergeCell ref="V17:V22"/>
    <mergeCell ref="W17:W22"/>
    <mergeCell ref="X17:X22"/>
    <mergeCell ref="Y17:Y22"/>
    <mergeCell ref="Z17:Z22"/>
    <mergeCell ref="A1:AL1"/>
    <mergeCell ref="A2:G2"/>
    <mergeCell ref="H2:Z2"/>
    <mergeCell ref="G4:I10"/>
    <mergeCell ref="J4:L10"/>
    <mergeCell ref="M4:O10"/>
    <mergeCell ref="P4:R10"/>
    <mergeCell ref="S4:U10"/>
    <mergeCell ref="AL4:AL10"/>
    <mergeCell ref="AC5:AD5"/>
    <mergeCell ref="AC6:AD6"/>
    <mergeCell ref="AC7:AD7"/>
    <mergeCell ref="V8:AD8"/>
    <mergeCell ref="A9:F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K10"/>
  </mergeCells>
  <phoneticPr fontId="21"/>
  <dataValidations count="1">
    <dataValidation type="list" allowBlank="1" showInputMessage="1" showErrorMessage="1" sqref="J11:U12 J14:U15 M17:U18 M20:U21 P23:U24 P26:U27 S29:U30 S32:U33 G23:L24 G26:L27 G29:O30 G32:O33 G35:R36 G38:R39 G17:I18 G20:I21" xr:uid="{CFCAC11C-7EBF-4CC2-A875-04BA9216DF67}">
      <formula1>$AB$5:$AB$7</formula1>
    </dataValidation>
  </dataValidations>
  <printOptions horizontalCentered="1"/>
  <pageMargins left="0.39370078740157483" right="0.39370078740157483" top="0.39370078740157483" bottom="0" header="0.51181102362204722" footer="0.51181102362204722"/>
  <pageSetup paperSize="9" scale="84" orientation="landscape" r:id="rId1"/>
  <headerFooter alignWithMargins="0"/>
  <colBreaks count="1" manualBreakCount="1">
    <brk id="3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4"/>
  <sheetViews>
    <sheetView workbookViewId="0">
      <selection activeCell="A15" sqref="A15"/>
    </sheetView>
  </sheetViews>
  <sheetFormatPr defaultRowHeight="12" x14ac:dyDescent="0.15"/>
  <cols>
    <col min="1" max="1" width="119.140625" style="2" bestFit="1" customWidth="1"/>
    <col min="2" max="16384" width="9.140625" style="2"/>
  </cols>
  <sheetData>
    <row r="1" spans="1:256" ht="17.25" x14ac:dyDescent="0.15">
      <c r="A1" s="1" t="s">
        <v>97</v>
      </c>
    </row>
    <row r="2" spans="1:256" ht="1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4" customFormat="1" ht="34.5" x14ac:dyDescent="0.15">
      <c r="A3" s="3" t="s">
        <v>98</v>
      </c>
    </row>
    <row r="4" spans="1:256" s="4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4" customFormat="1" ht="34.5" x14ac:dyDescent="0.15">
      <c r="A5" s="3" t="s">
        <v>99</v>
      </c>
    </row>
    <row r="6" spans="1:256" s="4" customFormat="1" ht="1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4" customFormat="1" ht="34.5" x14ac:dyDescent="0.15">
      <c r="A7" s="5" t="s">
        <v>115</v>
      </c>
    </row>
    <row r="8" spans="1:256" s="4" customFormat="1" ht="14.25" x14ac:dyDescent="0.15">
      <c r="A8" s="6"/>
    </row>
    <row r="9" spans="1:256" s="4" customFormat="1" ht="14.25" x14ac:dyDescent="0.15">
      <c r="A9" s="6"/>
    </row>
    <row r="10" spans="1:256" s="4" customFormat="1" ht="17.25" x14ac:dyDescent="0.15">
      <c r="A10" s="1" t="s">
        <v>100</v>
      </c>
    </row>
    <row r="11" spans="1:256" s="4" customFormat="1" ht="14.25" x14ac:dyDescent="0.15">
      <c r="A11" s="6"/>
    </row>
    <row r="12" spans="1:256" s="4" customFormat="1" ht="30" customHeight="1" x14ac:dyDescent="0.15">
      <c r="A12" s="6" t="s">
        <v>130</v>
      </c>
    </row>
    <row r="13" spans="1:256" s="4" customFormat="1" ht="14.25" x14ac:dyDescent="0.15">
      <c r="A13" s="6"/>
    </row>
    <row r="14" spans="1:256" s="4" customFormat="1" ht="69.95" customHeight="1" x14ac:dyDescent="0.15">
      <c r="A14" s="6" t="s">
        <v>131</v>
      </c>
    </row>
    <row r="15" spans="1:256" s="4" customFormat="1" ht="14.25" x14ac:dyDescent="0.15">
      <c r="A15" s="6"/>
    </row>
    <row r="16" spans="1:256" s="4" customFormat="1" ht="45" customHeight="1" x14ac:dyDescent="0.15">
      <c r="A16" s="6" t="s">
        <v>101</v>
      </c>
    </row>
    <row r="17" spans="1:1" s="4" customFormat="1" ht="14.25" x14ac:dyDescent="0.15">
      <c r="A17" s="6"/>
    </row>
    <row r="18" spans="1:1" s="4" customFormat="1" ht="60" customHeight="1" x14ac:dyDescent="0.15">
      <c r="A18" s="6" t="s">
        <v>113</v>
      </c>
    </row>
    <row r="19" spans="1:1" s="4" customFormat="1" ht="14.25" x14ac:dyDescent="0.15">
      <c r="A19" s="6"/>
    </row>
    <row r="20" spans="1:1" s="4" customFormat="1" ht="14.25" x14ac:dyDescent="0.15">
      <c r="A20" s="6" t="s">
        <v>102</v>
      </c>
    </row>
    <row r="21" spans="1:1" s="4" customFormat="1" ht="14.25" x14ac:dyDescent="0.15">
      <c r="A21" s="6"/>
    </row>
    <row r="22" spans="1:1" s="4" customFormat="1" ht="60" customHeight="1" x14ac:dyDescent="0.15">
      <c r="A22" s="6" t="s">
        <v>103</v>
      </c>
    </row>
    <row r="23" spans="1:1" s="4" customFormat="1" ht="14.25" x14ac:dyDescent="0.15">
      <c r="A23" s="6"/>
    </row>
    <row r="24" spans="1:1" s="4" customFormat="1" ht="30" customHeight="1" x14ac:dyDescent="0.15">
      <c r="A24" s="6" t="s">
        <v>128</v>
      </c>
    </row>
    <row r="25" spans="1:1" s="4" customFormat="1" ht="14.25" x14ac:dyDescent="0.15">
      <c r="A25" s="6"/>
    </row>
    <row r="26" spans="1:1" s="4" customFormat="1" ht="45" customHeight="1" x14ac:dyDescent="0.15">
      <c r="A26" s="6" t="s">
        <v>104</v>
      </c>
    </row>
    <row r="27" spans="1:1" s="4" customFormat="1" ht="14.25" x14ac:dyDescent="0.15">
      <c r="A27" s="6"/>
    </row>
    <row r="28" spans="1:1" s="4" customFormat="1" ht="45" customHeight="1" x14ac:dyDescent="0.15">
      <c r="A28" s="6" t="s">
        <v>126</v>
      </c>
    </row>
    <row r="29" spans="1:1" s="4" customFormat="1" ht="14.25" x14ac:dyDescent="0.15">
      <c r="A29" s="6"/>
    </row>
    <row r="30" spans="1:1" s="4" customFormat="1" ht="30" customHeight="1" x14ac:dyDescent="0.15">
      <c r="A30" s="6" t="s">
        <v>127</v>
      </c>
    </row>
    <row r="31" spans="1:1" s="4" customFormat="1" ht="14.25" x14ac:dyDescent="0.15">
      <c r="A31" s="6"/>
    </row>
    <row r="32" spans="1:1" s="4" customFormat="1" ht="30" customHeight="1" x14ac:dyDescent="0.15">
      <c r="A32" s="6" t="s">
        <v>105</v>
      </c>
    </row>
    <row r="33" spans="1:1" ht="17.25" x14ac:dyDescent="0.15">
      <c r="A33" s="5"/>
    </row>
    <row r="34" spans="1:1" x14ac:dyDescent="0.15">
      <c r="A34" s="7" t="s">
        <v>106</v>
      </c>
    </row>
  </sheetData>
  <phoneticPr fontId="21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DDC5-85A1-4C5C-B2C5-3EAF4801D362}">
  <dimension ref="A1:CQ40"/>
  <sheetViews>
    <sheetView tabSelected="1" topLeftCell="A10" zoomScale="60" zoomScaleNormal="60" workbookViewId="0">
      <selection activeCell="BC35" sqref="BC35"/>
    </sheetView>
  </sheetViews>
  <sheetFormatPr defaultColWidth="10.28515625" defaultRowHeight="16.5" x14ac:dyDescent="0.15"/>
  <cols>
    <col min="1" max="6" width="4.7109375" style="63" customWidth="1"/>
    <col min="7" max="21" width="3.7109375" style="63" customWidth="1"/>
    <col min="22" max="30" width="7.7109375" style="63" customWidth="1"/>
    <col min="31" max="37" width="3.28515625" style="63" customWidth="1"/>
    <col min="38" max="38" width="6.7109375" style="64" customWidth="1"/>
    <col min="39" max="39" width="3.28515625" style="63" customWidth="1"/>
    <col min="40" max="43" width="3.28515625" style="63" hidden="1" customWidth="1"/>
    <col min="44" max="44" width="3.28515625" style="63" customWidth="1"/>
    <col min="45" max="46" width="6.85546875" style="63" customWidth="1"/>
    <col min="47" max="48" width="3.28515625" style="64" hidden="1" customWidth="1"/>
    <col min="49" max="49" width="1.42578125" style="64" hidden="1" customWidth="1"/>
    <col min="50" max="50" width="3.28515625" style="64" hidden="1" customWidth="1"/>
    <col min="51" max="51" width="3" style="64" customWidth="1"/>
    <col min="52" max="52" width="12" style="64" customWidth="1"/>
    <col min="53" max="62" width="6.28515625" style="64" customWidth="1"/>
    <col min="63" max="73" width="6.28515625" style="64" hidden="1" customWidth="1"/>
    <col min="74" max="76" width="7.5703125" style="64" customWidth="1"/>
    <col min="77" max="78" width="6.42578125" style="64" customWidth="1"/>
    <col min="79" max="80" width="7.5703125" style="64" customWidth="1"/>
    <col min="81" max="84" width="3.28515625" style="63" customWidth="1"/>
    <col min="85" max="135" width="3" style="63" customWidth="1"/>
    <col min="136" max="16384" width="10.28515625" style="63"/>
  </cols>
  <sheetData>
    <row r="1" spans="1:95" ht="50.1" customHeight="1" x14ac:dyDescent="0.15">
      <c r="A1" s="384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63"/>
      <c r="BC1" s="63"/>
      <c r="BD1" s="63"/>
      <c r="BE1" s="63"/>
      <c r="BF1" s="63"/>
      <c r="BG1" s="63"/>
      <c r="BH1" s="63"/>
      <c r="BI1" s="63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</row>
    <row r="2" spans="1:95" s="365" customFormat="1" ht="37.5" x14ac:dyDescent="0.15">
      <c r="A2" s="386" t="str">
        <f>"★"&amp;'5チーム2回戦総当たりスケジュール作業表'!C1&amp;"リーグ"</f>
        <v>★木曜リーグ</v>
      </c>
      <c r="B2" s="387"/>
      <c r="C2" s="387"/>
      <c r="D2" s="387"/>
      <c r="E2" s="387"/>
      <c r="F2" s="387"/>
      <c r="G2" s="387"/>
      <c r="H2" s="388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63" t="s">
        <v>125</v>
      </c>
      <c r="AB2" s="322"/>
      <c r="AC2" s="322"/>
      <c r="AD2" s="322"/>
      <c r="AE2" s="322"/>
      <c r="AF2" s="322"/>
      <c r="AG2" s="322"/>
      <c r="AH2" s="322"/>
      <c r="AI2" s="322"/>
      <c r="AJ2" s="363"/>
      <c r="AK2" s="364"/>
      <c r="AL2" s="364"/>
      <c r="AM2" s="370"/>
      <c r="AN2" s="371"/>
      <c r="AO2" s="371"/>
      <c r="AP2" s="371"/>
      <c r="AQ2" s="371"/>
      <c r="AR2" s="371"/>
      <c r="AS2" s="371"/>
      <c r="AT2" s="371"/>
      <c r="AU2" s="371"/>
      <c r="AV2" s="371"/>
      <c r="AW2" s="370"/>
      <c r="AX2" s="370"/>
      <c r="AY2" s="370"/>
      <c r="AZ2" s="370"/>
      <c r="BA2" s="372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</row>
    <row r="3" spans="1:95" ht="9.9499999999999993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67"/>
      <c r="X3" s="67"/>
      <c r="Y3" s="67"/>
      <c r="Z3" s="67"/>
      <c r="AA3" s="67"/>
      <c r="AB3" s="67"/>
      <c r="AC3" s="67"/>
      <c r="AD3" s="67"/>
      <c r="AE3" s="68"/>
      <c r="AF3" s="68"/>
      <c r="AG3" s="68"/>
      <c r="AH3" s="68"/>
      <c r="AI3" s="68"/>
      <c r="AJ3" s="68"/>
      <c r="AK3" s="68"/>
      <c r="AL3" s="368"/>
    </row>
    <row r="4" spans="1:95" ht="15" customHeight="1" x14ac:dyDescent="0.15">
      <c r="A4" s="68"/>
      <c r="B4" s="68"/>
      <c r="C4" s="68"/>
      <c r="D4" s="68"/>
      <c r="E4" s="68"/>
      <c r="F4" s="68"/>
      <c r="G4" s="390" t="str">
        <f>A11</f>
        <v>T-25</v>
      </c>
      <c r="H4" s="390"/>
      <c r="I4" s="390"/>
      <c r="J4" s="390" t="str">
        <f>A17</f>
        <v>Etelia</v>
      </c>
      <c r="K4" s="390"/>
      <c r="L4" s="390"/>
      <c r="M4" s="390" t="str">
        <f>A23</f>
        <v>うなぎ</v>
      </c>
      <c r="N4" s="390"/>
      <c r="O4" s="390"/>
      <c r="P4" s="390" t="str">
        <f>A29</f>
        <v>飛杉田新地</v>
      </c>
      <c r="Q4" s="390"/>
      <c r="R4" s="390"/>
      <c r="S4" s="390" t="str">
        <f>A35</f>
        <v>PURE</v>
      </c>
      <c r="T4" s="390"/>
      <c r="U4" s="390"/>
      <c r="V4" s="65"/>
      <c r="W4" s="65"/>
      <c r="X4" s="65"/>
      <c r="Y4" s="65"/>
      <c r="Z4" s="65"/>
      <c r="AA4" s="65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392" t="s">
        <v>16</v>
      </c>
    </row>
    <row r="5" spans="1:95" ht="15" customHeight="1" x14ac:dyDescent="0.15">
      <c r="A5" s="68"/>
      <c r="B5" s="68"/>
      <c r="C5" s="68"/>
      <c r="D5" s="68"/>
      <c r="E5" s="68"/>
      <c r="F5" s="68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65"/>
      <c r="W5" s="65"/>
      <c r="X5" s="65"/>
      <c r="Y5" s="65"/>
      <c r="Z5" s="65"/>
      <c r="AA5" s="65"/>
      <c r="AB5" s="69" t="s">
        <v>17</v>
      </c>
      <c r="AC5" s="395" t="s">
        <v>18</v>
      </c>
      <c r="AD5" s="395"/>
      <c r="AE5" s="68"/>
      <c r="AF5" s="68"/>
      <c r="AG5" s="68"/>
      <c r="AH5" s="68"/>
      <c r="AI5" s="68"/>
      <c r="AJ5" s="68"/>
      <c r="AK5" s="68"/>
      <c r="AL5" s="393"/>
    </row>
    <row r="6" spans="1:95" ht="15" customHeight="1" x14ac:dyDescent="0.15">
      <c r="A6" s="68"/>
      <c r="B6" s="68"/>
      <c r="C6" s="68"/>
      <c r="D6" s="68"/>
      <c r="E6" s="68"/>
      <c r="F6" s="68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65"/>
      <c r="W6" s="65"/>
      <c r="X6" s="65"/>
      <c r="Y6" s="65"/>
      <c r="Z6" s="65"/>
      <c r="AA6" s="65"/>
      <c r="AB6" s="69" t="s">
        <v>19</v>
      </c>
      <c r="AC6" s="395" t="s">
        <v>20</v>
      </c>
      <c r="AD6" s="395"/>
      <c r="AE6" s="68"/>
      <c r="AF6" s="68"/>
      <c r="AG6" s="68"/>
      <c r="AH6" s="68"/>
      <c r="AI6" s="68"/>
      <c r="AJ6" s="68"/>
      <c r="AK6" s="68"/>
      <c r="AL6" s="393"/>
    </row>
    <row r="7" spans="1:95" ht="15" customHeight="1" x14ac:dyDescent="0.15">
      <c r="A7" s="68"/>
      <c r="B7" s="68"/>
      <c r="C7" s="68"/>
      <c r="D7" s="68"/>
      <c r="E7" s="68"/>
      <c r="F7" s="68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68"/>
      <c r="W7" s="68"/>
      <c r="X7" s="68"/>
      <c r="Y7" s="68"/>
      <c r="Z7" s="68"/>
      <c r="AA7" s="68"/>
      <c r="AB7" s="69" t="s">
        <v>72</v>
      </c>
      <c r="AC7" s="395" t="s">
        <v>21</v>
      </c>
      <c r="AD7" s="395"/>
      <c r="AE7" s="68"/>
      <c r="AF7" s="68"/>
      <c r="AG7" s="68"/>
      <c r="AH7" s="68"/>
      <c r="AI7" s="68"/>
      <c r="AJ7" s="68"/>
      <c r="AK7" s="68"/>
      <c r="AL7" s="393"/>
    </row>
    <row r="8" spans="1:95" ht="15" customHeight="1" x14ac:dyDescent="0.15">
      <c r="A8" s="68"/>
      <c r="B8" s="68"/>
      <c r="C8" s="68"/>
      <c r="D8" s="68"/>
      <c r="E8" s="68"/>
      <c r="F8" s="68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6" t="s">
        <v>22</v>
      </c>
      <c r="W8" s="396"/>
      <c r="X8" s="396"/>
      <c r="Y8" s="396"/>
      <c r="Z8" s="396"/>
      <c r="AA8" s="396"/>
      <c r="AB8" s="396"/>
      <c r="AC8" s="396"/>
      <c r="AD8" s="396"/>
      <c r="AE8" s="68"/>
      <c r="AF8" s="68"/>
      <c r="AG8" s="68"/>
      <c r="AH8" s="68"/>
      <c r="AI8" s="68"/>
      <c r="AJ8" s="68"/>
      <c r="AK8" s="68"/>
      <c r="AL8" s="393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</row>
    <row r="9" spans="1:95" ht="15" customHeight="1" x14ac:dyDescent="0.15">
      <c r="A9" s="397">
        <f>記録用紙!A2</f>
        <v>10</v>
      </c>
      <c r="B9" s="398"/>
      <c r="C9" s="398"/>
      <c r="D9" s="398"/>
      <c r="E9" s="398"/>
      <c r="F9" s="399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403" t="s">
        <v>23</v>
      </c>
      <c r="W9" s="405" t="s">
        <v>24</v>
      </c>
      <c r="X9" s="405" t="s">
        <v>26</v>
      </c>
      <c r="Y9" s="405" t="s">
        <v>25</v>
      </c>
      <c r="Z9" s="405" t="s">
        <v>27</v>
      </c>
      <c r="AA9" s="405" t="s">
        <v>28</v>
      </c>
      <c r="AB9" s="405" t="s">
        <v>29</v>
      </c>
      <c r="AC9" s="405" t="s">
        <v>30</v>
      </c>
      <c r="AD9" s="405" t="s">
        <v>31</v>
      </c>
      <c r="AE9" s="407" t="s">
        <v>32</v>
      </c>
      <c r="AF9" s="408"/>
      <c r="AG9" s="408"/>
      <c r="AH9" s="408"/>
      <c r="AI9" s="408"/>
      <c r="AJ9" s="408"/>
      <c r="AK9" s="409"/>
      <c r="AL9" s="393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</row>
    <row r="10" spans="1:95" ht="15" customHeight="1" thickBot="1" x14ac:dyDescent="0.2">
      <c r="A10" s="400"/>
      <c r="B10" s="401"/>
      <c r="C10" s="401"/>
      <c r="D10" s="401"/>
      <c r="E10" s="401"/>
      <c r="F10" s="402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404"/>
      <c r="W10" s="406"/>
      <c r="X10" s="406"/>
      <c r="Y10" s="406"/>
      <c r="Z10" s="406"/>
      <c r="AA10" s="406"/>
      <c r="AB10" s="406"/>
      <c r="AC10" s="406"/>
      <c r="AD10" s="406"/>
      <c r="AE10" s="410"/>
      <c r="AF10" s="411"/>
      <c r="AG10" s="411"/>
      <c r="AH10" s="411"/>
      <c r="AI10" s="411"/>
      <c r="AJ10" s="411"/>
      <c r="AK10" s="412"/>
      <c r="AL10" s="394"/>
      <c r="AZ10" s="71"/>
      <c r="BA10" s="72">
        <v>1</v>
      </c>
      <c r="BB10" s="72">
        <v>2</v>
      </c>
      <c r="BC10" s="72">
        <v>3</v>
      </c>
      <c r="BD10" s="72">
        <v>4</v>
      </c>
      <c r="BE10" s="72">
        <v>5</v>
      </c>
      <c r="BF10" s="72">
        <v>6</v>
      </c>
      <c r="BG10" s="72">
        <v>7</v>
      </c>
      <c r="BH10" s="72">
        <v>8</v>
      </c>
      <c r="BI10" s="72">
        <v>9</v>
      </c>
      <c r="BJ10" s="72">
        <v>10</v>
      </c>
      <c r="BK10" s="72">
        <v>11</v>
      </c>
      <c r="BL10" s="72">
        <v>12</v>
      </c>
      <c r="BM10" s="72">
        <v>13</v>
      </c>
      <c r="BN10" s="72">
        <v>14</v>
      </c>
      <c r="BO10" s="72">
        <v>15</v>
      </c>
      <c r="BP10" s="72">
        <v>16</v>
      </c>
      <c r="BQ10" s="72">
        <v>17</v>
      </c>
      <c r="BR10" s="72">
        <v>18</v>
      </c>
      <c r="BS10" s="72">
        <v>19</v>
      </c>
      <c r="BT10" s="72">
        <v>20</v>
      </c>
      <c r="BU10" s="72">
        <v>21</v>
      </c>
      <c r="BV10" s="72" t="s">
        <v>73</v>
      </c>
      <c r="BW10" s="72" t="s">
        <v>74</v>
      </c>
      <c r="BX10" s="72"/>
      <c r="BY10" s="73" t="s">
        <v>33</v>
      </c>
      <c r="BZ10" s="73" t="s">
        <v>34</v>
      </c>
      <c r="CA10" s="73" t="s">
        <v>35</v>
      </c>
      <c r="CB10" s="74" t="s">
        <v>75</v>
      </c>
    </row>
    <row r="11" spans="1:95" ht="15.95" customHeight="1" thickTop="1" x14ac:dyDescent="0.15">
      <c r="A11" s="419" t="str">
        <f>'5チーム2回戦総当たりスケジュール作業表'!$X$6</f>
        <v>T-25</v>
      </c>
      <c r="B11" s="420"/>
      <c r="C11" s="420"/>
      <c r="D11" s="420"/>
      <c r="E11" s="420"/>
      <c r="F11" s="421"/>
      <c r="G11" s="435"/>
      <c r="H11" s="435"/>
      <c r="I11" s="436"/>
      <c r="J11" s="474" t="str">
        <f ca="1">IF($A$9&lt;'5チーム2回戦総当たり結果記入用'!$AM$4,"",IF(J13="","",IF(J13&gt;L13,"○",IF(J13=L13,"△","●"))))</f>
        <v>●</v>
      </c>
      <c r="K11" s="471"/>
      <c r="L11" s="472"/>
      <c r="M11" s="474" t="str">
        <f ca="1">IF($A$9&lt;'5チーム2回戦総当たり結果記入用'!$AM$5,"",IF(M13="","",IF(M13&gt;O13,"○",IF(M13=O13,"△","●"))))</f>
        <v>●</v>
      </c>
      <c r="N11" s="471"/>
      <c r="O11" s="472"/>
      <c r="P11" s="474" t="str">
        <f ca="1">IF($A$9&lt;'5チーム2回戦総当たり結果記入用'!$AM$6,"",IF(P13="","",IF(P13&gt;R13,"○",IF(P13=R13,"△","●"))))</f>
        <v>●</v>
      </c>
      <c r="Q11" s="471"/>
      <c r="R11" s="472"/>
      <c r="S11" s="474" t="str">
        <f ca="1">IF($A$9&lt;'5チーム2回戦総当たり結果記入用'!$AM$7,"",IF(S13="","",IF(S13&gt;U13,"○",IF(S13=U13,"△","●"))))</f>
        <v>●</v>
      </c>
      <c r="T11" s="471"/>
      <c r="U11" s="472"/>
      <c r="V11" s="443">
        <f ca="1">SUM(W11:Y16)</f>
        <v>8</v>
      </c>
      <c r="W11" s="443">
        <f ca="1">COUNTIF($G11:$U16,"○")</f>
        <v>1</v>
      </c>
      <c r="X11" s="443">
        <f ca="1">COUNTIF($G11:$U16,"△")</f>
        <v>0</v>
      </c>
      <c r="Y11" s="443">
        <f ca="1">COUNTIF($G11:$U16,"●")</f>
        <v>7</v>
      </c>
      <c r="Z11" s="443">
        <f ca="1">SUM(G13,J13,M13,P13,S13,G16,J16,M16,P16,S16)</f>
        <v>39</v>
      </c>
      <c r="AA11" s="443">
        <f ca="1">SUM(I13,L13,O13,R13,U13,I16,L16,O16,R16,U16)</f>
        <v>64</v>
      </c>
      <c r="AB11" s="443">
        <f ca="1">Z11-AA11</f>
        <v>-25</v>
      </c>
      <c r="AC11" s="443">
        <f ca="1">W11*3+X11*1</f>
        <v>3</v>
      </c>
      <c r="AD11" s="450">
        <f ca="1">IF($A$9&lt;1,"",RANK(AS11,$AS$11:$AT$40,0))</f>
        <v>5</v>
      </c>
      <c r="AE11" s="452" t="str">
        <f>A11</f>
        <v>T-25</v>
      </c>
      <c r="AF11" s="453"/>
      <c r="AG11" s="453"/>
      <c r="AH11" s="453"/>
      <c r="AI11" s="453"/>
      <c r="AJ11" s="453"/>
      <c r="AK11" s="454"/>
      <c r="AL11" s="458">
        <f>IF($A$9&lt;1,"",CB11)</f>
        <v>5</v>
      </c>
      <c r="AS11" s="460">
        <f ca="1">AC11*100+AB11+Z11/100</f>
        <v>275.39</v>
      </c>
      <c r="AT11" s="460"/>
      <c r="AZ11" s="75" t="s">
        <v>36</v>
      </c>
      <c r="BA11" s="76">
        <v>1</v>
      </c>
      <c r="BB11" s="76">
        <v>3</v>
      </c>
      <c r="BC11" s="76">
        <v>0</v>
      </c>
      <c r="BD11" s="76">
        <v>1</v>
      </c>
      <c r="BE11" s="76"/>
      <c r="BF11" s="76">
        <v>0</v>
      </c>
      <c r="BG11" s="76">
        <v>2</v>
      </c>
      <c r="BH11" s="76">
        <v>1</v>
      </c>
      <c r="BI11" s="76">
        <v>0</v>
      </c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7">
        <f t="shared" ref="BV11:BV17" si="0">SUM(BA11:BU11)</f>
        <v>8</v>
      </c>
      <c r="BW11" s="77">
        <f>BV11*1</f>
        <v>8</v>
      </c>
      <c r="BX11" s="440">
        <f>SUM(BW11:BW13)</f>
        <v>8</v>
      </c>
      <c r="BY11" s="441"/>
      <c r="BZ11" s="441"/>
      <c r="CA11" s="440">
        <f>SUM(BX11:BZ13)</f>
        <v>8</v>
      </c>
      <c r="CB11" s="442">
        <f>RANK(CA11,$CA$11:$CA$37,1)</f>
        <v>5</v>
      </c>
    </row>
    <row r="12" spans="1:95" ht="15.95" customHeight="1" x14ac:dyDescent="0.15">
      <c r="A12" s="422"/>
      <c r="B12" s="423"/>
      <c r="C12" s="423"/>
      <c r="D12" s="423"/>
      <c r="E12" s="423"/>
      <c r="F12" s="424"/>
      <c r="G12" s="435"/>
      <c r="H12" s="435"/>
      <c r="I12" s="436"/>
      <c r="J12" s="474"/>
      <c r="K12" s="471"/>
      <c r="L12" s="472"/>
      <c r="M12" s="474"/>
      <c r="N12" s="471"/>
      <c r="O12" s="472"/>
      <c r="P12" s="474"/>
      <c r="Q12" s="471"/>
      <c r="R12" s="472"/>
      <c r="S12" s="474"/>
      <c r="T12" s="471"/>
      <c r="U12" s="472"/>
      <c r="V12" s="444"/>
      <c r="W12" s="444"/>
      <c r="X12" s="444"/>
      <c r="Y12" s="444"/>
      <c r="Z12" s="444"/>
      <c r="AA12" s="444"/>
      <c r="AB12" s="444"/>
      <c r="AC12" s="444"/>
      <c r="AD12" s="451"/>
      <c r="AE12" s="455"/>
      <c r="AF12" s="456"/>
      <c r="AG12" s="456"/>
      <c r="AH12" s="456"/>
      <c r="AI12" s="456"/>
      <c r="AJ12" s="456"/>
      <c r="AK12" s="457"/>
      <c r="AL12" s="459"/>
      <c r="AS12" s="460"/>
      <c r="AT12" s="460"/>
      <c r="AZ12" s="75" t="s">
        <v>37</v>
      </c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7">
        <f t="shared" si="0"/>
        <v>0</v>
      </c>
      <c r="BW12" s="77">
        <f>BV12*5</f>
        <v>0</v>
      </c>
      <c r="BX12" s="440"/>
      <c r="BY12" s="441"/>
      <c r="BZ12" s="441"/>
      <c r="CA12" s="440"/>
      <c r="CB12" s="442"/>
    </row>
    <row r="13" spans="1:95" ht="15.95" customHeight="1" x14ac:dyDescent="0.15">
      <c r="A13" s="422"/>
      <c r="B13" s="423"/>
      <c r="C13" s="423"/>
      <c r="D13" s="423"/>
      <c r="E13" s="423"/>
      <c r="F13" s="424"/>
      <c r="G13" s="438"/>
      <c r="H13" s="438"/>
      <c r="I13" s="439"/>
      <c r="J13" s="78">
        <f ca="1">IF($A$9&lt;'5チーム2回戦総当たり結果記入用'!$AM$4,"",'5チーム2回戦総当たり結果記入用'!$AK$4)</f>
        <v>3</v>
      </c>
      <c r="K13" s="79" t="s">
        <v>38</v>
      </c>
      <c r="L13" s="80">
        <f ca="1">IF($A$9&lt;'5チーム2回戦総当たり結果記入用'!$AM$4,"",'5チーム2回戦総当たり結果記入用'!$AL$4)</f>
        <v>4</v>
      </c>
      <c r="M13" s="78">
        <f ca="1">IF($A$9&lt;'5チーム2回戦総当たり結果記入用'!$AM$5,"",'5チーム2回戦総当たり結果記入用'!$AK$5)</f>
        <v>3</v>
      </c>
      <c r="N13" s="79" t="s">
        <v>38</v>
      </c>
      <c r="O13" s="80">
        <f ca="1">IF($A$9&lt;'5チーム2回戦総当たり結果記入用'!$AM$5,"",'5チーム2回戦総当たり結果記入用'!$AL$5)</f>
        <v>9</v>
      </c>
      <c r="P13" s="78">
        <f ca="1">IF($A$9&lt;'5チーム2回戦総当たり結果記入用'!$AM$6,"",'5チーム2回戦総当たり結果記入用'!$AK$6)</f>
        <v>7</v>
      </c>
      <c r="Q13" s="79" t="s">
        <v>38</v>
      </c>
      <c r="R13" s="80">
        <f ca="1">IF($A$9&lt;'5チーム2回戦総当たり結果記入用'!$AM$6,"",'5チーム2回戦総当たり結果記入用'!$AL$6)</f>
        <v>12</v>
      </c>
      <c r="S13" s="78">
        <f ca="1">IF($A$9&lt;'5チーム2回戦総当たり結果記入用'!$AM$7,"",'5チーム2回戦総当たり結果記入用'!$AK$7)</f>
        <v>3</v>
      </c>
      <c r="T13" s="79" t="s">
        <v>38</v>
      </c>
      <c r="U13" s="80">
        <f ca="1">IF($A$9&lt;'5チーム2回戦総当たり結果記入用'!$AM$7,"",'5チーム2回戦総当たり結果記入用'!$AL$7)</f>
        <v>11</v>
      </c>
      <c r="V13" s="444"/>
      <c r="W13" s="444"/>
      <c r="X13" s="444"/>
      <c r="Y13" s="444"/>
      <c r="Z13" s="444"/>
      <c r="AA13" s="444"/>
      <c r="AB13" s="444"/>
      <c r="AC13" s="444"/>
      <c r="AD13" s="451"/>
      <c r="AE13" s="455"/>
      <c r="AF13" s="456"/>
      <c r="AG13" s="456"/>
      <c r="AH13" s="456"/>
      <c r="AI13" s="456"/>
      <c r="AJ13" s="456"/>
      <c r="AK13" s="457"/>
      <c r="AL13" s="459"/>
      <c r="AS13" s="460"/>
      <c r="AT13" s="460"/>
      <c r="AZ13" s="75" t="s">
        <v>39</v>
      </c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>
        <f t="shared" si="0"/>
        <v>0</v>
      </c>
      <c r="BW13" s="77">
        <f>BV13*10</f>
        <v>0</v>
      </c>
      <c r="BX13" s="440"/>
      <c r="BY13" s="441"/>
      <c r="BZ13" s="441"/>
      <c r="CA13" s="440"/>
      <c r="CB13" s="442"/>
    </row>
    <row r="14" spans="1:95" ht="15.95" customHeight="1" x14ac:dyDescent="0.15">
      <c r="A14" s="422"/>
      <c r="B14" s="423"/>
      <c r="C14" s="423"/>
      <c r="D14" s="423"/>
      <c r="E14" s="423"/>
      <c r="F14" s="424"/>
      <c r="G14" s="435"/>
      <c r="H14" s="435"/>
      <c r="I14" s="436"/>
      <c r="J14" s="474" t="str">
        <f ca="1">IF($A$9&lt;'5チーム2回戦総当たり結果記入用'!$AM$124,"",IF(J16="","",IF(J16&gt;L16,"○",IF(J16=L16,"△","●"))))</f>
        <v>●</v>
      </c>
      <c r="K14" s="471"/>
      <c r="L14" s="472"/>
      <c r="M14" s="474" t="str">
        <f ca="1">IF($A$9&lt;'5チーム2回戦総当たり結果記入用'!$AM$125,"",IF(M16="","",IF(M16&gt;O16,"○",IF(M16=O16,"△","●"))))</f>
        <v>●</v>
      </c>
      <c r="N14" s="471"/>
      <c r="O14" s="472"/>
      <c r="P14" s="474" t="str">
        <f ca="1">IF($A$9&lt;'5チーム2回戦総当たり結果記入用'!$AM$126,"",IF(P16="","",IF(P16&gt;R16,"○",IF(P16=R16,"△","●"))))</f>
        <v>○</v>
      </c>
      <c r="Q14" s="471"/>
      <c r="R14" s="472"/>
      <c r="S14" s="474" t="str">
        <f ca="1">IF($A$9&lt;'5チーム2回戦総当たり結果記入用'!$AM$127,"",IF(S16="","",IF(S16&gt;U16,"○",IF(S16=U16,"△","●"))))</f>
        <v>●</v>
      </c>
      <c r="T14" s="471"/>
      <c r="U14" s="472"/>
      <c r="V14" s="444"/>
      <c r="W14" s="444"/>
      <c r="X14" s="444"/>
      <c r="Y14" s="444"/>
      <c r="Z14" s="444"/>
      <c r="AA14" s="444"/>
      <c r="AB14" s="444"/>
      <c r="AC14" s="444"/>
      <c r="AD14" s="451"/>
      <c r="AE14" s="455"/>
      <c r="AF14" s="456"/>
      <c r="AG14" s="456"/>
      <c r="AH14" s="456"/>
      <c r="AI14" s="456"/>
      <c r="AJ14" s="456"/>
      <c r="AK14" s="457"/>
      <c r="AL14" s="459"/>
      <c r="AS14" s="460"/>
      <c r="AT14" s="460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3"/>
      <c r="BX14" s="413"/>
      <c r="BY14" s="448"/>
      <c r="BZ14" s="448"/>
      <c r="CA14" s="413"/>
      <c r="CB14" s="416"/>
    </row>
    <row r="15" spans="1:95" ht="15.95" customHeight="1" x14ac:dyDescent="0.15">
      <c r="A15" s="422"/>
      <c r="B15" s="423"/>
      <c r="C15" s="423"/>
      <c r="D15" s="423"/>
      <c r="E15" s="423"/>
      <c r="F15" s="424"/>
      <c r="G15" s="435"/>
      <c r="H15" s="435"/>
      <c r="I15" s="436"/>
      <c r="J15" s="474"/>
      <c r="K15" s="471"/>
      <c r="L15" s="472"/>
      <c r="M15" s="474"/>
      <c r="N15" s="471"/>
      <c r="O15" s="472"/>
      <c r="P15" s="474"/>
      <c r="Q15" s="471"/>
      <c r="R15" s="472"/>
      <c r="S15" s="474"/>
      <c r="T15" s="471"/>
      <c r="U15" s="472"/>
      <c r="V15" s="444"/>
      <c r="W15" s="444"/>
      <c r="X15" s="444"/>
      <c r="Y15" s="444"/>
      <c r="Z15" s="444"/>
      <c r="AA15" s="444"/>
      <c r="AB15" s="444"/>
      <c r="AC15" s="444"/>
      <c r="AD15" s="451"/>
      <c r="AE15" s="455"/>
      <c r="AF15" s="456"/>
      <c r="AG15" s="456"/>
      <c r="AH15" s="456"/>
      <c r="AI15" s="456"/>
      <c r="AJ15" s="456"/>
      <c r="AK15" s="457"/>
      <c r="AL15" s="459"/>
      <c r="AS15" s="460"/>
      <c r="AT15" s="460"/>
      <c r="AZ15" s="84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85"/>
      <c r="BW15" s="85"/>
      <c r="BX15" s="414"/>
      <c r="BY15" s="441"/>
      <c r="BZ15" s="441"/>
      <c r="CA15" s="414"/>
      <c r="CB15" s="417"/>
    </row>
    <row r="16" spans="1:95" ht="15.95" customHeight="1" x14ac:dyDescent="0.15">
      <c r="A16" s="425"/>
      <c r="B16" s="426"/>
      <c r="C16" s="426"/>
      <c r="D16" s="426"/>
      <c r="E16" s="426"/>
      <c r="F16" s="427"/>
      <c r="G16" s="438"/>
      <c r="H16" s="438"/>
      <c r="I16" s="439"/>
      <c r="J16" s="78">
        <f ca="1">IF($A$9&lt;'5チーム2回戦総当たり結果記入用'!$AM$124,"",'5チーム2回戦総当たり結果記入用'!$AL$124)</f>
        <v>4</v>
      </c>
      <c r="K16" s="79" t="s">
        <v>38</v>
      </c>
      <c r="L16" s="80">
        <f ca="1">IF($A$9&lt;'5チーム2回戦総当たり結果記入用'!$AM$124,"",'5チーム2回戦総当たり結果記入用'!$AK$124)</f>
        <v>7</v>
      </c>
      <c r="M16" s="78">
        <f ca="1">IF($A$9&lt;'5チーム2回戦総当たり結果記入用'!$AM$125,"",'5チーム2回戦総当たり結果記入用'!$AL$125)</f>
        <v>1</v>
      </c>
      <c r="N16" s="79" t="s">
        <v>38</v>
      </c>
      <c r="O16" s="80">
        <f ca="1">IF($A$9&lt;'5チーム2回戦総当たり結果記入用'!$AM$125,"",'5チーム2回戦総当たり結果記入用'!$AK$125)</f>
        <v>5</v>
      </c>
      <c r="P16" s="78">
        <f ca="1">IF($A$9&lt;'5チーム2回戦総当たり結果記入用'!$AM$126,"",'5チーム2回戦総当たり結果記入用'!$AL$126)</f>
        <v>9</v>
      </c>
      <c r="Q16" s="79" t="s">
        <v>38</v>
      </c>
      <c r="R16" s="80">
        <f ca="1">IF($A$9&lt;'5チーム2回戦総当たり結果記入用'!$AM$126,"",'5チーム2回戦総当たり結果記入用'!$AK$126)</f>
        <v>5</v>
      </c>
      <c r="S16" s="78">
        <f ca="1">IF($A$9&lt;'5チーム2回戦総当たり結果記入用'!$AM$127,"",'5チーム2回戦総当たり結果記入用'!$AL$127)</f>
        <v>9</v>
      </c>
      <c r="T16" s="79" t="s">
        <v>38</v>
      </c>
      <c r="U16" s="80">
        <f ca="1">IF($A$9&lt;'5チーム2回戦総当たり結果記入用'!$AM$127,"",'5チーム2回戦総当たり結果記入用'!$AK$127)</f>
        <v>11</v>
      </c>
      <c r="V16" s="444"/>
      <c r="W16" s="444"/>
      <c r="X16" s="444"/>
      <c r="Y16" s="444"/>
      <c r="Z16" s="444"/>
      <c r="AA16" s="444"/>
      <c r="AB16" s="444"/>
      <c r="AC16" s="444"/>
      <c r="AD16" s="451"/>
      <c r="AE16" s="455"/>
      <c r="AF16" s="456"/>
      <c r="AG16" s="456"/>
      <c r="AH16" s="456"/>
      <c r="AI16" s="456"/>
      <c r="AJ16" s="456"/>
      <c r="AK16" s="457"/>
      <c r="AL16" s="459"/>
      <c r="AS16" s="460"/>
      <c r="AT16" s="460"/>
      <c r="AZ16" s="86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8"/>
      <c r="BW16" s="88"/>
      <c r="BX16" s="415"/>
      <c r="BY16" s="449"/>
      <c r="BZ16" s="449"/>
      <c r="CA16" s="415"/>
      <c r="CB16" s="418"/>
    </row>
    <row r="17" spans="1:80" ht="15.95" customHeight="1" x14ac:dyDescent="0.15">
      <c r="A17" s="419" t="str">
        <f>'5チーム2回戦総当たりスケジュール作業表'!$X$7</f>
        <v>Etelia</v>
      </c>
      <c r="B17" s="420"/>
      <c r="C17" s="420"/>
      <c r="D17" s="420"/>
      <c r="E17" s="420"/>
      <c r="F17" s="421"/>
      <c r="G17" s="467" t="str">
        <f ca="1">IF($A$9&lt;'5チーム2回戦総当たり結果記入用'!$AM$4,"",IF(G19="","",IF(G19&gt;I19,"○",IF(G19=I19,"△","●"))))</f>
        <v>○</v>
      </c>
      <c r="H17" s="468"/>
      <c r="I17" s="469"/>
      <c r="J17" s="431"/>
      <c r="K17" s="432"/>
      <c r="L17" s="433"/>
      <c r="M17" s="473" t="str">
        <f ca="1">IF($A$9&lt;'5チーム2回戦総当たり結果記入用'!$AM$19,"",IF(M19="","",IF(M19&gt;O19,"○",IF(M19=O19,"△","●"))))</f>
        <v>○</v>
      </c>
      <c r="N17" s="468"/>
      <c r="O17" s="469"/>
      <c r="P17" s="473" t="str">
        <f ca="1">IF($A$9&lt;'5チーム2回戦総当たり結果記入用'!$AM$20,"",IF(P19="","",IF(P19&gt;R19,"○",IF(P19=R19,"△","●"))))</f>
        <v>○</v>
      </c>
      <c r="Q17" s="468"/>
      <c r="R17" s="469"/>
      <c r="S17" s="473" t="str">
        <f ca="1">IF($A$9&lt;'5チーム2回戦総当たり結果記入用'!$AM$21,"",IF(S19="","",IF(S19&gt;U19,"○",IF(S19=U19,"△","●"))))</f>
        <v>●</v>
      </c>
      <c r="T17" s="468"/>
      <c r="U17" s="469"/>
      <c r="V17" s="445">
        <f ca="1">SUM(W17:Y22)</f>
        <v>7</v>
      </c>
      <c r="W17" s="445">
        <f ca="1">COUNTIF($G17:$U22,"○")</f>
        <v>6</v>
      </c>
      <c r="X17" s="445">
        <f ca="1">COUNTIF($G17:$U22,"△")</f>
        <v>0</v>
      </c>
      <c r="Y17" s="445">
        <f ca="1">COUNTIF($G17:$U22,"●")</f>
        <v>1</v>
      </c>
      <c r="Z17" s="445">
        <f t="shared" ref="Z17" ca="1" si="1">SUM(G19,J19,M19,P19,S19,G22,J22,M22,P22,S22)</f>
        <v>45</v>
      </c>
      <c r="AA17" s="445">
        <f t="shared" ref="AA17" ca="1" si="2">SUM(I19,L19,O19,R19,U19,I22,L22,O22,R22,U22)</f>
        <v>25</v>
      </c>
      <c r="AB17" s="445">
        <f ca="1">Z17-AA17</f>
        <v>20</v>
      </c>
      <c r="AC17" s="445">
        <f ca="1">W17*3+X17*1</f>
        <v>18</v>
      </c>
      <c r="AD17" s="463">
        <f t="shared" ref="AD17" ca="1" si="3">IF($A$9&lt;1,"",RANK(AS17,$AS$11:$AT$40,0))</f>
        <v>1</v>
      </c>
      <c r="AE17" s="464" t="str">
        <f>A17</f>
        <v>Etelia</v>
      </c>
      <c r="AF17" s="464"/>
      <c r="AG17" s="464"/>
      <c r="AH17" s="464"/>
      <c r="AI17" s="464"/>
      <c r="AJ17" s="464"/>
      <c r="AK17" s="464"/>
      <c r="AL17" s="465">
        <f t="shared" ref="AL17" si="4">IF($A$9&lt;1,"",CB17)</f>
        <v>4</v>
      </c>
      <c r="AS17" s="460">
        <f ca="1">AC17*100+AB17+Z17/100</f>
        <v>1820.45</v>
      </c>
      <c r="AT17" s="460"/>
      <c r="AZ17" s="89" t="s">
        <v>36</v>
      </c>
      <c r="BA17" s="82">
        <v>1</v>
      </c>
      <c r="BB17" s="82">
        <v>2</v>
      </c>
      <c r="BC17" s="82"/>
      <c r="BD17" s="82">
        <v>0</v>
      </c>
      <c r="BE17" s="82">
        <v>0</v>
      </c>
      <c r="BF17" s="82">
        <v>1</v>
      </c>
      <c r="BG17" s="82"/>
      <c r="BH17" s="82">
        <v>2</v>
      </c>
      <c r="BI17" s="82">
        <v>1</v>
      </c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90">
        <f t="shared" si="0"/>
        <v>7</v>
      </c>
      <c r="BW17" s="90">
        <f>BV17*1</f>
        <v>7</v>
      </c>
      <c r="BX17" s="446">
        <f>SUM(BW17:BW19)</f>
        <v>7</v>
      </c>
      <c r="BY17" s="448"/>
      <c r="BZ17" s="448"/>
      <c r="CA17" s="446">
        <f>SUM(BX17:BZ19)</f>
        <v>7</v>
      </c>
      <c r="CB17" s="461">
        <f>RANK(CA17,$CA$11:$CA$37,1)</f>
        <v>4</v>
      </c>
    </row>
    <row r="18" spans="1:80" ht="15.95" customHeight="1" x14ac:dyDescent="0.15">
      <c r="A18" s="422"/>
      <c r="B18" s="423"/>
      <c r="C18" s="423"/>
      <c r="D18" s="423"/>
      <c r="E18" s="423"/>
      <c r="F18" s="424"/>
      <c r="G18" s="470"/>
      <c r="H18" s="471"/>
      <c r="I18" s="472"/>
      <c r="J18" s="434"/>
      <c r="K18" s="435"/>
      <c r="L18" s="436"/>
      <c r="M18" s="474"/>
      <c r="N18" s="471"/>
      <c r="O18" s="472"/>
      <c r="P18" s="474"/>
      <c r="Q18" s="471"/>
      <c r="R18" s="472"/>
      <c r="S18" s="474"/>
      <c r="T18" s="471"/>
      <c r="U18" s="472"/>
      <c r="V18" s="445"/>
      <c r="W18" s="445"/>
      <c r="X18" s="445"/>
      <c r="Y18" s="445"/>
      <c r="Z18" s="445"/>
      <c r="AA18" s="445"/>
      <c r="AB18" s="445"/>
      <c r="AC18" s="445"/>
      <c r="AD18" s="463"/>
      <c r="AE18" s="464"/>
      <c r="AF18" s="464"/>
      <c r="AG18" s="464"/>
      <c r="AH18" s="464"/>
      <c r="AI18" s="464"/>
      <c r="AJ18" s="464"/>
      <c r="AK18" s="464"/>
      <c r="AL18" s="465"/>
      <c r="AS18" s="460"/>
      <c r="AT18" s="460"/>
      <c r="AZ18" s="75" t="s">
        <v>37</v>
      </c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7">
        <f t="shared" ref="BV18:BV37" si="5">SUM(BA18:BU18)</f>
        <v>0</v>
      </c>
      <c r="BW18" s="77">
        <f>BV18*5</f>
        <v>0</v>
      </c>
      <c r="BX18" s="440"/>
      <c r="BY18" s="441"/>
      <c r="BZ18" s="441"/>
      <c r="CA18" s="440"/>
      <c r="CB18" s="442"/>
    </row>
    <row r="19" spans="1:80" ht="15.95" customHeight="1" x14ac:dyDescent="0.15">
      <c r="A19" s="422"/>
      <c r="B19" s="423"/>
      <c r="C19" s="423"/>
      <c r="D19" s="423"/>
      <c r="E19" s="423"/>
      <c r="F19" s="424"/>
      <c r="G19" s="79">
        <f ca="1">$L$13</f>
        <v>4</v>
      </c>
      <c r="H19" s="79" t="s">
        <v>38</v>
      </c>
      <c r="I19" s="80">
        <f ca="1">$J$13</f>
        <v>3</v>
      </c>
      <c r="J19" s="437"/>
      <c r="K19" s="438"/>
      <c r="L19" s="439"/>
      <c r="M19" s="78">
        <f ca="1">IF($A$9&lt;'5チーム2回戦総当たり結果記入用'!$AM$19,"",'5チーム2回戦総当たり結果記入用'!$AK$19)</f>
        <v>12</v>
      </c>
      <c r="N19" s="79" t="s">
        <v>38</v>
      </c>
      <c r="O19" s="80">
        <f ca="1">IF($A$9&lt;'5チーム2回戦総当たり結果記入用'!$AM$19,"",'5チーム2回戦総当たり結果記入用'!$AL$19)</f>
        <v>4</v>
      </c>
      <c r="P19" s="78">
        <f ca="1">IF($A$9&lt;'5チーム2回戦総当たり結果記入用'!$AM$20,"",'5チーム2回戦総当たり結果記入用'!$AK$20)</f>
        <v>6</v>
      </c>
      <c r="Q19" s="79" t="s">
        <v>67</v>
      </c>
      <c r="R19" s="80">
        <f ca="1">IF($A$9&lt;'5チーム2回戦総当たり結果記入用'!$AM$20,"",'5チーム2回戦総当たり結果記入用'!$AL$20)</f>
        <v>3</v>
      </c>
      <c r="S19" s="78">
        <f ca="1">IF($A$9&lt;'5チーム2回戦総当たり結果記入用'!$AM$21,"",'5チーム2回戦総当たり結果記入用'!$AK$21)</f>
        <v>2</v>
      </c>
      <c r="T19" s="79" t="s">
        <v>67</v>
      </c>
      <c r="U19" s="80">
        <f ca="1">IF($A$9&lt;'5チーム2回戦総当たり結果記入用'!$AM$21,"",'5チーム2回戦総当たり結果記入用'!$AL$21)</f>
        <v>3</v>
      </c>
      <c r="V19" s="445"/>
      <c r="W19" s="445"/>
      <c r="X19" s="445"/>
      <c r="Y19" s="445"/>
      <c r="Z19" s="445"/>
      <c r="AA19" s="445"/>
      <c r="AB19" s="445"/>
      <c r="AC19" s="445"/>
      <c r="AD19" s="463"/>
      <c r="AE19" s="464"/>
      <c r="AF19" s="464"/>
      <c r="AG19" s="464"/>
      <c r="AH19" s="464"/>
      <c r="AI19" s="464"/>
      <c r="AJ19" s="464"/>
      <c r="AK19" s="464"/>
      <c r="AL19" s="465"/>
      <c r="AS19" s="460"/>
      <c r="AT19" s="460"/>
      <c r="AZ19" s="91" t="s">
        <v>39</v>
      </c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92">
        <f t="shared" si="5"/>
        <v>0</v>
      </c>
      <c r="BW19" s="92">
        <f>BV19*10</f>
        <v>0</v>
      </c>
      <c r="BX19" s="447"/>
      <c r="BY19" s="449"/>
      <c r="BZ19" s="449"/>
      <c r="CA19" s="447"/>
      <c r="CB19" s="462"/>
    </row>
    <row r="20" spans="1:80" ht="15.95" customHeight="1" x14ac:dyDescent="0.15">
      <c r="A20" s="422"/>
      <c r="B20" s="423"/>
      <c r="C20" s="423"/>
      <c r="D20" s="423"/>
      <c r="E20" s="423"/>
      <c r="F20" s="424"/>
      <c r="G20" s="467" t="str">
        <f ca="1">IF($A$9&lt;'5チーム2回戦総当たり結果記入用'!$AM$124,"",IF(G22="","",IF(G22&gt;I22,"○",IF(G22=I22,"△","●"))))</f>
        <v>○</v>
      </c>
      <c r="H20" s="468"/>
      <c r="I20" s="469"/>
      <c r="J20" s="431"/>
      <c r="K20" s="432"/>
      <c r="L20" s="433"/>
      <c r="M20" s="473" t="str">
        <f ca="1">IF($A$9&lt;'5チーム2回戦総当たり結果記入用'!$AM$139,"",IF(M22="","",IF(M22&gt;O22,"○",IF(M22=O22,"△","●"))))</f>
        <v>○</v>
      </c>
      <c r="N20" s="468"/>
      <c r="O20" s="469"/>
      <c r="P20" s="473" t="str">
        <f ca="1">IF($A$9&lt;'5チーム2回戦総当たり結果記入用'!$AM$140,"",IF(P22="","",IF(P22&gt;R22,"○",IF(P22=R22,"△","●"))))</f>
        <v/>
      </c>
      <c r="Q20" s="468"/>
      <c r="R20" s="469"/>
      <c r="S20" s="473" t="str">
        <f ca="1">IF($A$9&lt;'5チーム2回戦総当たり結果記入用'!$AM$141,"",IF(S22="","",IF(S22&gt;U22,"○",IF(S22=U22,"△","●"))))</f>
        <v>○</v>
      </c>
      <c r="T20" s="468"/>
      <c r="U20" s="469"/>
      <c r="V20" s="445"/>
      <c r="W20" s="445"/>
      <c r="X20" s="445"/>
      <c r="Y20" s="445"/>
      <c r="Z20" s="445"/>
      <c r="AA20" s="445"/>
      <c r="AB20" s="445"/>
      <c r="AC20" s="445"/>
      <c r="AD20" s="463"/>
      <c r="AE20" s="464">
        <f>A20</f>
        <v>0</v>
      </c>
      <c r="AF20" s="464"/>
      <c r="AG20" s="464"/>
      <c r="AH20" s="464"/>
      <c r="AI20" s="464"/>
      <c r="AJ20" s="464"/>
      <c r="AK20" s="464"/>
      <c r="AL20" s="465"/>
      <c r="AS20" s="460"/>
      <c r="AT20" s="460"/>
      <c r="AZ20" s="81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3"/>
      <c r="BW20" s="83"/>
      <c r="BX20" s="413"/>
      <c r="BY20" s="448"/>
      <c r="BZ20" s="448"/>
      <c r="CA20" s="413"/>
      <c r="CB20" s="416"/>
    </row>
    <row r="21" spans="1:80" ht="15.95" customHeight="1" x14ac:dyDescent="0.15">
      <c r="A21" s="422"/>
      <c r="B21" s="423"/>
      <c r="C21" s="423"/>
      <c r="D21" s="423"/>
      <c r="E21" s="423"/>
      <c r="F21" s="424"/>
      <c r="G21" s="470"/>
      <c r="H21" s="471"/>
      <c r="I21" s="472"/>
      <c r="J21" s="434"/>
      <c r="K21" s="435"/>
      <c r="L21" s="436"/>
      <c r="M21" s="474"/>
      <c r="N21" s="471"/>
      <c r="O21" s="472"/>
      <c r="P21" s="474"/>
      <c r="Q21" s="471"/>
      <c r="R21" s="472"/>
      <c r="S21" s="474"/>
      <c r="T21" s="471"/>
      <c r="U21" s="472"/>
      <c r="V21" s="445"/>
      <c r="W21" s="445"/>
      <c r="X21" s="445"/>
      <c r="Y21" s="445"/>
      <c r="Z21" s="445"/>
      <c r="AA21" s="445"/>
      <c r="AB21" s="445"/>
      <c r="AC21" s="445"/>
      <c r="AD21" s="463"/>
      <c r="AE21" s="464"/>
      <c r="AF21" s="464"/>
      <c r="AG21" s="464"/>
      <c r="AH21" s="464"/>
      <c r="AI21" s="464"/>
      <c r="AJ21" s="464"/>
      <c r="AK21" s="464"/>
      <c r="AL21" s="465"/>
      <c r="AS21" s="460"/>
      <c r="AT21" s="460"/>
      <c r="AZ21" s="84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85"/>
      <c r="BW21" s="85"/>
      <c r="BX21" s="414"/>
      <c r="BY21" s="441"/>
      <c r="BZ21" s="441"/>
      <c r="CA21" s="414"/>
      <c r="CB21" s="417"/>
    </row>
    <row r="22" spans="1:80" ht="15.95" customHeight="1" x14ac:dyDescent="0.15">
      <c r="A22" s="425"/>
      <c r="B22" s="426"/>
      <c r="C22" s="426"/>
      <c r="D22" s="426"/>
      <c r="E22" s="426"/>
      <c r="F22" s="427"/>
      <c r="G22" s="79">
        <f ca="1">$L$16</f>
        <v>7</v>
      </c>
      <c r="H22" s="79" t="s">
        <v>38</v>
      </c>
      <c r="I22" s="80">
        <f ca="1">$J$16</f>
        <v>4</v>
      </c>
      <c r="J22" s="437"/>
      <c r="K22" s="438"/>
      <c r="L22" s="439"/>
      <c r="M22" s="78">
        <f ca="1">IF($A$9&lt;'5チーム2回戦総当たり結果記入用'!$AM$139,"",'5チーム2回戦総当たり結果記入用'!$AL$139)</f>
        <v>8</v>
      </c>
      <c r="N22" s="79" t="s">
        <v>38</v>
      </c>
      <c r="O22" s="80">
        <f ca="1">IF($A$9&lt;'5チーム2回戦総当たり結果記入用'!$AM$139,"",'5チーム2回戦総当たり結果記入用'!$AK$139)</f>
        <v>4</v>
      </c>
      <c r="P22" s="78" t="str">
        <f ca="1">IF($A$9&lt;'5チーム2回戦総当たり結果記入用'!$AM$140,"",'5チーム2回戦総当たり結果記入用'!$AL$140)</f>
        <v/>
      </c>
      <c r="Q22" s="79" t="s">
        <v>67</v>
      </c>
      <c r="R22" s="80" t="str">
        <f ca="1">IF($A$9&lt;'5チーム2回戦総当たり結果記入用'!$AM$140,"",'5チーム2回戦総当たり結果記入用'!$AK$140)</f>
        <v/>
      </c>
      <c r="S22" s="78">
        <f ca="1">IF($A$9&lt;'5チーム2回戦総当たり結果記入用'!$AM$141,"",'5チーム2回戦総当たり結果記入用'!$AL$141)</f>
        <v>6</v>
      </c>
      <c r="T22" s="79" t="s">
        <v>67</v>
      </c>
      <c r="U22" s="80">
        <f ca="1">IF($A$9&lt;'5チーム2回戦総当たり結果記入用'!$AM$141,"",'5チーム2回戦総当たり結果記入用'!$AK$141)</f>
        <v>4</v>
      </c>
      <c r="V22" s="445"/>
      <c r="W22" s="445"/>
      <c r="X22" s="445"/>
      <c r="Y22" s="445"/>
      <c r="Z22" s="445"/>
      <c r="AA22" s="445"/>
      <c r="AB22" s="445"/>
      <c r="AC22" s="445"/>
      <c r="AD22" s="463"/>
      <c r="AE22" s="464"/>
      <c r="AF22" s="464"/>
      <c r="AG22" s="464"/>
      <c r="AH22" s="464"/>
      <c r="AI22" s="464"/>
      <c r="AJ22" s="464"/>
      <c r="AK22" s="464"/>
      <c r="AL22" s="465"/>
      <c r="AS22" s="460"/>
      <c r="AT22" s="460"/>
      <c r="AZ22" s="86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8"/>
      <c r="BW22" s="88"/>
      <c r="BX22" s="415"/>
      <c r="BY22" s="449"/>
      <c r="BZ22" s="449"/>
      <c r="CA22" s="415"/>
      <c r="CB22" s="418"/>
    </row>
    <row r="23" spans="1:80" ht="15.95" customHeight="1" x14ac:dyDescent="0.15">
      <c r="A23" s="419" t="str">
        <f>'5チーム2回戦総当たりスケジュール作業表'!$X$8</f>
        <v>うなぎ</v>
      </c>
      <c r="B23" s="420"/>
      <c r="C23" s="420"/>
      <c r="D23" s="420"/>
      <c r="E23" s="420"/>
      <c r="F23" s="421"/>
      <c r="G23" s="474" t="str">
        <f ca="1">IF($A$9&lt;'5チーム2回戦総当たり結果記入用'!$AM$5,"",IF(G25="","",IF(G25&gt;I25,"○",IF(G25=I25,"△","●"))))</f>
        <v>○</v>
      </c>
      <c r="H23" s="471"/>
      <c r="I23" s="472"/>
      <c r="J23" s="473" t="str">
        <f ca="1">IF($A$9&lt;'5チーム2回戦総当たり結果記入用'!$AM$19,"",IF(J25="","",IF(J25&gt;L25,"○",IF(J25=L25,"△","●"))))</f>
        <v>●</v>
      </c>
      <c r="K23" s="468"/>
      <c r="L23" s="469"/>
      <c r="M23" s="431"/>
      <c r="N23" s="432"/>
      <c r="O23" s="433"/>
      <c r="P23" s="473" t="str">
        <f ca="1">IF($A$9&lt;'5チーム2回戦総当たり結果記入用'!$AM$33,"",IF(P25="","",IF(P25&gt;R25,"○",IF(P25=R25,"△","●"))))</f>
        <v>●</v>
      </c>
      <c r="Q23" s="468"/>
      <c r="R23" s="469"/>
      <c r="S23" s="473" t="str">
        <f ca="1">IF($A$9&lt;'5チーム2回戦総当たり結果記入用'!$AM$34,"",IF(S25="","",IF(S25&gt;U25,"○",IF(S25=U25,"△","●"))))</f>
        <v>○</v>
      </c>
      <c r="T23" s="468"/>
      <c r="U23" s="469"/>
      <c r="V23" s="445">
        <f ca="1">SUM(W23:Y28)</f>
        <v>8</v>
      </c>
      <c r="W23" s="445">
        <f ca="1">COUNTIF($G23:$U28,"○")</f>
        <v>5</v>
      </c>
      <c r="X23" s="445">
        <f ca="1">COUNTIF($G23:$U28,"△")</f>
        <v>0</v>
      </c>
      <c r="Y23" s="445">
        <f ca="1">COUNTIF($G23:$U28,"●")</f>
        <v>3</v>
      </c>
      <c r="Z23" s="445">
        <f t="shared" ref="Z23" ca="1" si="6">SUM(G25,J25,M25,P25,S25,G28,J28,M28,P28,S28)</f>
        <v>53</v>
      </c>
      <c r="AA23" s="445">
        <f t="shared" ref="AA23" ca="1" si="7">SUM(I25,L25,O25,R25,U25,I28,L28,O28,R28,U28)</f>
        <v>42</v>
      </c>
      <c r="AB23" s="445">
        <f ca="1">Z23-AA23</f>
        <v>11</v>
      </c>
      <c r="AC23" s="445">
        <f ca="1">W23*3+X23*1</f>
        <v>15</v>
      </c>
      <c r="AD23" s="463">
        <f t="shared" ref="AD23" ca="1" si="8">IF($A$9&lt;1,"",RANK(AS23,$AS$11:$AT$40,0))</f>
        <v>3</v>
      </c>
      <c r="AE23" s="464" t="str">
        <f>A23</f>
        <v>うなぎ</v>
      </c>
      <c r="AF23" s="464"/>
      <c r="AG23" s="464"/>
      <c r="AH23" s="464"/>
      <c r="AI23" s="464"/>
      <c r="AJ23" s="464"/>
      <c r="AK23" s="464"/>
      <c r="AL23" s="465">
        <f t="shared" ref="AL23" si="9">IF($A$9&lt;1,"",CB23)</f>
        <v>1</v>
      </c>
      <c r="AS23" s="460">
        <f ca="1">AC23*100+AB23+Z23/100</f>
        <v>1511.53</v>
      </c>
      <c r="AT23" s="460"/>
      <c r="AZ23" s="89" t="s">
        <v>36</v>
      </c>
      <c r="BA23" s="82">
        <v>1</v>
      </c>
      <c r="BB23" s="82"/>
      <c r="BC23" s="82">
        <v>2</v>
      </c>
      <c r="BD23" s="82">
        <v>0</v>
      </c>
      <c r="BE23" s="82">
        <v>0</v>
      </c>
      <c r="BF23" s="82">
        <v>1</v>
      </c>
      <c r="BG23" s="82">
        <v>1</v>
      </c>
      <c r="BH23" s="82">
        <v>1</v>
      </c>
      <c r="BI23" s="82">
        <v>0</v>
      </c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90">
        <f t="shared" si="5"/>
        <v>6</v>
      </c>
      <c r="BW23" s="90">
        <f>BV23*1</f>
        <v>6</v>
      </c>
      <c r="BX23" s="446">
        <f>SUM(BW23:BW25)</f>
        <v>6</v>
      </c>
      <c r="BY23" s="448"/>
      <c r="BZ23" s="448"/>
      <c r="CA23" s="446">
        <f>SUM(BX23:BZ25)</f>
        <v>6</v>
      </c>
      <c r="CB23" s="461">
        <f>RANK(CA23,$CA$11:$CA$37,1)</f>
        <v>1</v>
      </c>
    </row>
    <row r="24" spans="1:80" ht="15.95" customHeight="1" x14ac:dyDescent="0.15">
      <c r="A24" s="422"/>
      <c r="B24" s="423"/>
      <c r="C24" s="423"/>
      <c r="D24" s="423"/>
      <c r="E24" s="423"/>
      <c r="F24" s="424"/>
      <c r="G24" s="474"/>
      <c r="H24" s="471"/>
      <c r="I24" s="472"/>
      <c r="J24" s="474"/>
      <c r="K24" s="471"/>
      <c r="L24" s="472"/>
      <c r="M24" s="434"/>
      <c r="N24" s="435"/>
      <c r="O24" s="436"/>
      <c r="P24" s="474"/>
      <c r="Q24" s="471"/>
      <c r="R24" s="472"/>
      <c r="S24" s="474"/>
      <c r="T24" s="471"/>
      <c r="U24" s="472"/>
      <c r="V24" s="445"/>
      <c r="W24" s="445"/>
      <c r="X24" s="445"/>
      <c r="Y24" s="445"/>
      <c r="Z24" s="445"/>
      <c r="AA24" s="445"/>
      <c r="AB24" s="445"/>
      <c r="AC24" s="445"/>
      <c r="AD24" s="463"/>
      <c r="AE24" s="464"/>
      <c r="AF24" s="464"/>
      <c r="AG24" s="464"/>
      <c r="AH24" s="464"/>
      <c r="AI24" s="464"/>
      <c r="AJ24" s="464"/>
      <c r="AK24" s="464"/>
      <c r="AL24" s="465"/>
      <c r="AS24" s="460"/>
      <c r="AT24" s="460"/>
      <c r="AZ24" s="75" t="s">
        <v>37</v>
      </c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>
        <f t="shared" si="5"/>
        <v>0</v>
      </c>
      <c r="BW24" s="77">
        <f>BV24*5</f>
        <v>0</v>
      </c>
      <c r="BX24" s="440"/>
      <c r="BY24" s="441"/>
      <c r="BZ24" s="441"/>
      <c r="CA24" s="440"/>
      <c r="CB24" s="442"/>
    </row>
    <row r="25" spans="1:80" ht="15.95" customHeight="1" x14ac:dyDescent="0.15">
      <c r="A25" s="422"/>
      <c r="B25" s="423"/>
      <c r="C25" s="423"/>
      <c r="D25" s="423"/>
      <c r="E25" s="423"/>
      <c r="F25" s="424"/>
      <c r="G25" s="79">
        <f ca="1">$O$13</f>
        <v>9</v>
      </c>
      <c r="H25" s="79" t="s">
        <v>38</v>
      </c>
      <c r="I25" s="80">
        <f ca="1">$M$13</f>
        <v>3</v>
      </c>
      <c r="J25" s="78">
        <f ca="1">$O$19</f>
        <v>4</v>
      </c>
      <c r="K25" s="79" t="s">
        <v>38</v>
      </c>
      <c r="L25" s="80">
        <f ca="1">$M$19</f>
        <v>12</v>
      </c>
      <c r="M25" s="437"/>
      <c r="N25" s="438"/>
      <c r="O25" s="439"/>
      <c r="P25" s="78">
        <f ca="1">IF($A$9&lt;'5チーム2回戦総当たり結果記入用'!$AM$33,"",'5チーム2回戦総当たり結果記入用'!$AK$33)</f>
        <v>6</v>
      </c>
      <c r="Q25" s="79" t="s">
        <v>67</v>
      </c>
      <c r="R25" s="80">
        <f ca="1">IF($A$9&lt;'5チーム2回戦総当たり結果記入用'!$AM$33,"",'5チーム2回戦総当たり結果記入用'!$AL$33)</f>
        <v>7</v>
      </c>
      <c r="S25" s="78">
        <f ca="1">IF($A$9&lt;'5チーム2回戦総当たり結果記入用'!$AM$34,"",'5チーム2回戦総当たり結果記入用'!$AK$34)</f>
        <v>8</v>
      </c>
      <c r="T25" s="79" t="s">
        <v>67</v>
      </c>
      <c r="U25" s="80">
        <f ca="1">IF($A$9&lt;'5チーム2回戦総当たり結果記入用'!$AM$34,"",'5チーム2回戦総当たり結果記入用'!$AL$34)</f>
        <v>1</v>
      </c>
      <c r="V25" s="445"/>
      <c r="W25" s="445"/>
      <c r="X25" s="445"/>
      <c r="Y25" s="445"/>
      <c r="Z25" s="445"/>
      <c r="AA25" s="445"/>
      <c r="AB25" s="445"/>
      <c r="AC25" s="445"/>
      <c r="AD25" s="463"/>
      <c r="AE25" s="464"/>
      <c r="AF25" s="464"/>
      <c r="AG25" s="464"/>
      <c r="AH25" s="464"/>
      <c r="AI25" s="464"/>
      <c r="AJ25" s="464"/>
      <c r="AK25" s="464"/>
      <c r="AL25" s="465"/>
      <c r="AS25" s="460"/>
      <c r="AT25" s="460"/>
      <c r="AZ25" s="91" t="s">
        <v>39</v>
      </c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92">
        <f t="shared" si="5"/>
        <v>0</v>
      </c>
      <c r="BW25" s="92">
        <f>BV25*10</f>
        <v>0</v>
      </c>
      <c r="BX25" s="447"/>
      <c r="BY25" s="449"/>
      <c r="BZ25" s="449"/>
      <c r="CA25" s="447"/>
      <c r="CB25" s="462"/>
    </row>
    <row r="26" spans="1:80" ht="15.95" customHeight="1" x14ac:dyDescent="0.15">
      <c r="A26" s="422"/>
      <c r="B26" s="423"/>
      <c r="C26" s="423"/>
      <c r="D26" s="423"/>
      <c r="E26" s="423"/>
      <c r="F26" s="424"/>
      <c r="G26" s="474" t="str">
        <f ca="1">IF($A$9&lt;'5チーム2回戦総当たり結果記入用'!$AM$125,"",IF(G28="","",IF(G28&gt;I28,"○",IF(G28=I28,"△","●"))))</f>
        <v>○</v>
      </c>
      <c r="H26" s="471"/>
      <c r="I26" s="472"/>
      <c r="J26" s="473" t="str">
        <f ca="1">IF($A$9&lt;'5チーム2回戦総当たり結果記入用'!$AM$139,"",IF(J28="","",IF(J28&gt;L28,"○",IF(J28=L28,"△","●"))))</f>
        <v>●</v>
      </c>
      <c r="K26" s="468"/>
      <c r="L26" s="469"/>
      <c r="M26" s="431"/>
      <c r="N26" s="432"/>
      <c r="O26" s="433"/>
      <c r="P26" s="473" t="str">
        <f ca="1">IF($A$9&lt;'5チーム2回戦総当たり結果記入用'!$AM$153,"",IF(P28="","",IF(P28&gt;R28,"○",IF(P28=R28,"△","●"))))</f>
        <v>○</v>
      </c>
      <c r="Q26" s="468"/>
      <c r="R26" s="469"/>
      <c r="S26" s="473" t="str">
        <f ca="1">IF($A$9&lt;'5チーム2回戦総当たり結果記入用'!$AM$154,"",IF(S28="","",IF(S28&gt;U28,"○",IF(S28=U28,"△","●"))))</f>
        <v>○</v>
      </c>
      <c r="T26" s="468"/>
      <c r="U26" s="469"/>
      <c r="V26" s="445"/>
      <c r="W26" s="445"/>
      <c r="X26" s="445"/>
      <c r="Y26" s="445"/>
      <c r="Z26" s="445"/>
      <c r="AA26" s="445"/>
      <c r="AB26" s="445"/>
      <c r="AC26" s="445"/>
      <c r="AD26" s="463"/>
      <c r="AE26" s="464">
        <f>A26</f>
        <v>0</v>
      </c>
      <c r="AF26" s="464"/>
      <c r="AG26" s="464"/>
      <c r="AH26" s="464"/>
      <c r="AI26" s="464"/>
      <c r="AJ26" s="464"/>
      <c r="AK26" s="464"/>
      <c r="AL26" s="465"/>
      <c r="AS26" s="460"/>
      <c r="AT26" s="460"/>
      <c r="AZ26" s="84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85"/>
      <c r="BW26" s="85"/>
      <c r="BX26" s="414"/>
      <c r="BY26" s="441"/>
      <c r="BZ26" s="441"/>
      <c r="CA26" s="414"/>
      <c r="CB26" s="417"/>
    </row>
    <row r="27" spans="1:80" ht="15.95" customHeight="1" x14ac:dyDescent="0.15">
      <c r="A27" s="422"/>
      <c r="B27" s="423"/>
      <c r="C27" s="423"/>
      <c r="D27" s="423"/>
      <c r="E27" s="423"/>
      <c r="F27" s="424"/>
      <c r="G27" s="474"/>
      <c r="H27" s="471"/>
      <c r="I27" s="472"/>
      <c r="J27" s="474"/>
      <c r="K27" s="471"/>
      <c r="L27" s="472"/>
      <c r="M27" s="434"/>
      <c r="N27" s="435"/>
      <c r="O27" s="436"/>
      <c r="P27" s="474"/>
      <c r="Q27" s="471"/>
      <c r="R27" s="472"/>
      <c r="S27" s="474"/>
      <c r="T27" s="471"/>
      <c r="U27" s="472"/>
      <c r="V27" s="445"/>
      <c r="W27" s="445"/>
      <c r="X27" s="445"/>
      <c r="Y27" s="445"/>
      <c r="Z27" s="445"/>
      <c r="AA27" s="445"/>
      <c r="AB27" s="445"/>
      <c r="AC27" s="445"/>
      <c r="AD27" s="463"/>
      <c r="AE27" s="464"/>
      <c r="AF27" s="464"/>
      <c r="AG27" s="464"/>
      <c r="AH27" s="464"/>
      <c r="AI27" s="464"/>
      <c r="AJ27" s="464"/>
      <c r="AK27" s="464"/>
      <c r="AL27" s="465"/>
      <c r="AS27" s="460"/>
      <c r="AT27" s="460"/>
      <c r="AZ27" s="84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85"/>
      <c r="BW27" s="85"/>
      <c r="BX27" s="414"/>
      <c r="BY27" s="441"/>
      <c r="BZ27" s="441"/>
      <c r="CA27" s="414"/>
      <c r="CB27" s="417"/>
    </row>
    <row r="28" spans="1:80" ht="15.95" customHeight="1" x14ac:dyDescent="0.15">
      <c r="A28" s="425"/>
      <c r="B28" s="426"/>
      <c r="C28" s="426"/>
      <c r="D28" s="426"/>
      <c r="E28" s="426"/>
      <c r="F28" s="427"/>
      <c r="G28" s="79">
        <f ca="1">$O$16</f>
        <v>5</v>
      </c>
      <c r="H28" s="79" t="s">
        <v>38</v>
      </c>
      <c r="I28" s="80">
        <f ca="1">$M$16</f>
        <v>1</v>
      </c>
      <c r="J28" s="78">
        <f ca="1">$O$22</f>
        <v>4</v>
      </c>
      <c r="K28" s="79" t="s">
        <v>38</v>
      </c>
      <c r="L28" s="80">
        <f ca="1">$M$22</f>
        <v>8</v>
      </c>
      <c r="M28" s="437"/>
      <c r="N28" s="438"/>
      <c r="O28" s="439"/>
      <c r="P28" s="78">
        <f ca="1">IF($A$9&lt;'5チーム2回戦総当たり結果記入用'!$AM$153,"",'5チーム2回戦総当たり結果記入用'!$AL$153)</f>
        <v>10</v>
      </c>
      <c r="Q28" s="79" t="s">
        <v>67</v>
      </c>
      <c r="R28" s="80">
        <f ca="1">IF($A$9&lt;'5チーム2回戦総当たり結果記入用'!$AM$153,"",'5チーム2回戦総当たり結果記入用'!$AK$153)</f>
        <v>4</v>
      </c>
      <c r="S28" s="78">
        <f ca="1">IF($A$9&lt;'5チーム2回戦総当たり結果記入用'!$AM$154,"",'5チーム2回戦総当たり結果記入用'!$AL$154)</f>
        <v>7</v>
      </c>
      <c r="T28" s="79" t="s">
        <v>67</v>
      </c>
      <c r="U28" s="80">
        <f ca="1">IF($A$9&lt;'5チーム2回戦総当たり結果記入用'!$AM$154,"",'5チーム2回戦総当たり結果記入用'!$AK$154)</f>
        <v>6</v>
      </c>
      <c r="V28" s="445"/>
      <c r="W28" s="445"/>
      <c r="X28" s="445"/>
      <c r="Y28" s="445"/>
      <c r="Z28" s="445"/>
      <c r="AA28" s="445"/>
      <c r="AB28" s="445"/>
      <c r="AC28" s="445"/>
      <c r="AD28" s="463"/>
      <c r="AE28" s="464"/>
      <c r="AF28" s="464"/>
      <c r="AG28" s="464"/>
      <c r="AH28" s="464"/>
      <c r="AI28" s="464"/>
      <c r="AJ28" s="464"/>
      <c r="AK28" s="464"/>
      <c r="AL28" s="465"/>
      <c r="AS28" s="460"/>
      <c r="AT28" s="460"/>
      <c r="AZ28" s="84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85"/>
      <c r="BW28" s="85"/>
      <c r="BX28" s="414"/>
      <c r="BY28" s="441"/>
      <c r="BZ28" s="441"/>
      <c r="CA28" s="414"/>
      <c r="CB28" s="417"/>
    </row>
    <row r="29" spans="1:80" ht="15.95" customHeight="1" x14ac:dyDescent="0.15">
      <c r="A29" s="419" t="str">
        <f>'5チーム2回戦総当たりスケジュール作業表'!$X$9</f>
        <v>飛杉田新地</v>
      </c>
      <c r="B29" s="420"/>
      <c r="C29" s="420"/>
      <c r="D29" s="420"/>
      <c r="E29" s="420"/>
      <c r="F29" s="421"/>
      <c r="G29" s="474" t="str">
        <f ca="1">IF($A$9&lt;'5チーム2回戦総当たり結果記入用'!$AM$6,"",IF(G31="","",IF(G31&gt;I31,"○",IF(G31=I31,"△","●"))))</f>
        <v>○</v>
      </c>
      <c r="H29" s="471"/>
      <c r="I29" s="472"/>
      <c r="J29" s="473" t="str">
        <f ca="1">IF($A$9&lt;'5チーム2回戦総当たり結果記入用'!$AM$20,"",IF(J31="","",IF(J31&gt;L31,"○",IF(J31=L31,"△","●"))))</f>
        <v>●</v>
      </c>
      <c r="K29" s="468"/>
      <c r="L29" s="469"/>
      <c r="M29" s="473" t="str">
        <f ca="1">IF($A$9&lt;'5チーム2回戦総当たり結果記入用'!$AM$33,"",IF(M31="","",IF(M31&gt;O31,"○",IF(M31=O31,"△","●"))))</f>
        <v>○</v>
      </c>
      <c r="N29" s="468"/>
      <c r="O29" s="469"/>
      <c r="P29" s="431"/>
      <c r="Q29" s="432"/>
      <c r="R29" s="433"/>
      <c r="S29" s="473" t="str">
        <f ca="1">IF($A$9&lt;'5チーム2回戦総当たり結果記入用'!$AM$46,"",IF(S31="","",IF(S31&gt;U31,"○",IF(S31=U31,"△","●"))))</f>
        <v>●</v>
      </c>
      <c r="T29" s="468"/>
      <c r="U29" s="469"/>
      <c r="V29" s="445">
        <f ca="1">SUM(W29:Y31)</f>
        <v>7</v>
      </c>
      <c r="W29" s="445">
        <f ca="1">COUNTIF($G29:$U34,"○")</f>
        <v>2</v>
      </c>
      <c r="X29" s="445">
        <f ca="1">COUNTIF($G29:$U34,"△")</f>
        <v>0</v>
      </c>
      <c r="Y29" s="445">
        <f ca="1">COUNTIF($G29:$U34,"●")</f>
        <v>5</v>
      </c>
      <c r="Z29" s="445">
        <f t="shared" ref="Z29" ca="1" si="10">SUM(G31,J31,M31,P31,S31,G34,J34,M34,P34,S34)</f>
        <v>41</v>
      </c>
      <c r="AA29" s="445">
        <f t="shared" ref="AA29" ca="1" si="11">SUM(I31,L31,O31,R31,U31,I34,L34,O34,R34,U34)</f>
        <v>64</v>
      </c>
      <c r="AB29" s="445">
        <f ca="1">Z29-AA29</f>
        <v>-23</v>
      </c>
      <c r="AC29" s="445">
        <f ca="1">W29*3+X29*1</f>
        <v>6</v>
      </c>
      <c r="AD29" s="463">
        <f t="shared" ref="AD29" ca="1" si="12">IF($A$9&lt;1,"",RANK(AS29,$AS$11:$AT$40,0))</f>
        <v>4</v>
      </c>
      <c r="AE29" s="464" t="str">
        <f>A29</f>
        <v>飛杉田新地</v>
      </c>
      <c r="AF29" s="464"/>
      <c r="AG29" s="464"/>
      <c r="AH29" s="464"/>
      <c r="AI29" s="464"/>
      <c r="AJ29" s="464"/>
      <c r="AK29" s="464"/>
      <c r="AL29" s="465">
        <f t="shared" ref="AL29" si="13">IF($A$9&lt;1,"",CB29)</f>
        <v>1</v>
      </c>
      <c r="AS29" s="460">
        <f ca="1">AC29*100+AB29+Z29/100</f>
        <v>577.41</v>
      </c>
      <c r="AT29" s="460"/>
      <c r="AZ29" s="89" t="s">
        <v>36</v>
      </c>
      <c r="BA29" s="82">
        <v>3</v>
      </c>
      <c r="BB29" s="82">
        <v>1</v>
      </c>
      <c r="BC29" s="82">
        <v>0</v>
      </c>
      <c r="BD29" s="82"/>
      <c r="BE29" s="82">
        <v>0</v>
      </c>
      <c r="BF29" s="82">
        <v>0</v>
      </c>
      <c r="BG29" s="82">
        <v>2</v>
      </c>
      <c r="BH29" s="82"/>
      <c r="BI29" s="82"/>
      <c r="BJ29" s="82">
        <v>0</v>
      </c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90">
        <f t="shared" si="5"/>
        <v>6</v>
      </c>
      <c r="BW29" s="90">
        <f>BV29*1</f>
        <v>6</v>
      </c>
      <c r="BX29" s="446">
        <f>SUM(BW29:BW31)</f>
        <v>6</v>
      </c>
      <c r="BY29" s="448"/>
      <c r="BZ29" s="448"/>
      <c r="CA29" s="446">
        <f>SUM(BX29:BZ31)</f>
        <v>6</v>
      </c>
      <c r="CB29" s="461">
        <f>RANK(CA29,$CA$11:$CA$37,1)</f>
        <v>1</v>
      </c>
    </row>
    <row r="30" spans="1:80" ht="15.95" customHeight="1" x14ac:dyDescent="0.15">
      <c r="A30" s="422"/>
      <c r="B30" s="423"/>
      <c r="C30" s="423"/>
      <c r="D30" s="423"/>
      <c r="E30" s="423"/>
      <c r="F30" s="424"/>
      <c r="G30" s="474"/>
      <c r="H30" s="471"/>
      <c r="I30" s="472"/>
      <c r="J30" s="474"/>
      <c r="K30" s="471"/>
      <c r="L30" s="472"/>
      <c r="M30" s="474"/>
      <c r="N30" s="471"/>
      <c r="O30" s="472"/>
      <c r="P30" s="434"/>
      <c r="Q30" s="435"/>
      <c r="R30" s="436"/>
      <c r="S30" s="474"/>
      <c r="T30" s="471"/>
      <c r="U30" s="472"/>
      <c r="V30" s="445"/>
      <c r="W30" s="445"/>
      <c r="X30" s="445"/>
      <c r="Y30" s="445"/>
      <c r="Z30" s="445"/>
      <c r="AA30" s="445"/>
      <c r="AB30" s="445"/>
      <c r="AC30" s="445"/>
      <c r="AD30" s="463"/>
      <c r="AE30" s="464"/>
      <c r="AF30" s="464"/>
      <c r="AG30" s="464"/>
      <c r="AH30" s="464"/>
      <c r="AI30" s="464"/>
      <c r="AJ30" s="464"/>
      <c r="AK30" s="464"/>
      <c r="AL30" s="465"/>
      <c r="AS30" s="460"/>
      <c r="AT30" s="460"/>
      <c r="AZ30" s="75" t="s">
        <v>37</v>
      </c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7">
        <f t="shared" si="5"/>
        <v>0</v>
      </c>
      <c r="BW30" s="77">
        <f>BV30*5</f>
        <v>0</v>
      </c>
      <c r="BX30" s="440"/>
      <c r="BY30" s="441"/>
      <c r="BZ30" s="441"/>
      <c r="CA30" s="440"/>
      <c r="CB30" s="442"/>
    </row>
    <row r="31" spans="1:80" ht="15.95" customHeight="1" x14ac:dyDescent="0.15">
      <c r="A31" s="422"/>
      <c r="B31" s="423"/>
      <c r="C31" s="423"/>
      <c r="D31" s="423"/>
      <c r="E31" s="423"/>
      <c r="F31" s="424"/>
      <c r="G31" s="79">
        <f ca="1">$R$13</f>
        <v>12</v>
      </c>
      <c r="H31" s="79" t="s">
        <v>38</v>
      </c>
      <c r="I31" s="80">
        <f ca="1">$P$13</f>
        <v>7</v>
      </c>
      <c r="J31" s="78">
        <f ca="1">$R$19</f>
        <v>3</v>
      </c>
      <c r="K31" s="79" t="s">
        <v>67</v>
      </c>
      <c r="L31" s="80">
        <f ca="1">$P$19</f>
        <v>6</v>
      </c>
      <c r="M31" s="78">
        <f ca="1">$R$25</f>
        <v>7</v>
      </c>
      <c r="N31" s="79" t="s">
        <v>67</v>
      </c>
      <c r="O31" s="80">
        <f ca="1">$P$25</f>
        <v>6</v>
      </c>
      <c r="P31" s="437"/>
      <c r="Q31" s="438"/>
      <c r="R31" s="439"/>
      <c r="S31" s="78">
        <f ca="1">IF($A$9&lt;'5チーム2回戦総当たり結果記入用'!$AM$46,"",'5チーム2回戦総当たり結果記入用'!$AK$46)</f>
        <v>8</v>
      </c>
      <c r="T31" s="79" t="s">
        <v>67</v>
      </c>
      <c r="U31" s="80">
        <f ca="1">IF($A$9&lt;'5チーム2回戦総当たり結果記入用'!$AM$46,"",'5チーム2回戦総当たり結果記入用'!$AL$46)</f>
        <v>11</v>
      </c>
      <c r="V31" s="445"/>
      <c r="W31" s="445"/>
      <c r="X31" s="445"/>
      <c r="Y31" s="445"/>
      <c r="Z31" s="445"/>
      <c r="AA31" s="445"/>
      <c r="AB31" s="445"/>
      <c r="AC31" s="445"/>
      <c r="AD31" s="463"/>
      <c r="AE31" s="464"/>
      <c r="AF31" s="464"/>
      <c r="AG31" s="464"/>
      <c r="AH31" s="464"/>
      <c r="AI31" s="464"/>
      <c r="AJ31" s="464"/>
      <c r="AK31" s="464"/>
      <c r="AL31" s="465"/>
      <c r="AS31" s="460"/>
      <c r="AT31" s="460"/>
      <c r="AZ31" s="91" t="s">
        <v>39</v>
      </c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92">
        <f t="shared" si="5"/>
        <v>0</v>
      </c>
      <c r="BW31" s="92">
        <f>BV31*10</f>
        <v>0</v>
      </c>
      <c r="BX31" s="447"/>
      <c r="BY31" s="449"/>
      <c r="BZ31" s="449"/>
      <c r="CA31" s="447"/>
      <c r="CB31" s="462"/>
    </row>
    <row r="32" spans="1:80" ht="15.95" customHeight="1" x14ac:dyDescent="0.15">
      <c r="A32" s="422"/>
      <c r="B32" s="423"/>
      <c r="C32" s="423"/>
      <c r="D32" s="423"/>
      <c r="E32" s="423"/>
      <c r="F32" s="424"/>
      <c r="G32" s="474" t="str">
        <f ca="1">IF($A$9&lt;'5チーム2回戦総当たり結果記入用'!$AM$126,"",IF(G34="","",IF(G34&gt;I34,"○",IF(G34=I34,"△","●"))))</f>
        <v>●</v>
      </c>
      <c r="H32" s="471"/>
      <c r="I32" s="472"/>
      <c r="J32" s="473" t="str">
        <f ca="1">IF($A$9&lt;'5チーム2回戦総当たり結果記入用'!$AM$140,"",IF(J34="","",IF(J34&gt;L34,"○",IF(J34=L34,"△","●"))))</f>
        <v/>
      </c>
      <c r="K32" s="468"/>
      <c r="L32" s="469"/>
      <c r="M32" s="473" t="str">
        <f ca="1">IF($A$9&lt;'5チーム2回戦総当たり結果記入用'!$AM$153,"",IF(M34="","",IF(M34&gt;O34,"○",IF(M34=O34,"△","●"))))</f>
        <v>●</v>
      </c>
      <c r="N32" s="468"/>
      <c r="O32" s="469"/>
      <c r="P32" s="431"/>
      <c r="Q32" s="432"/>
      <c r="R32" s="433"/>
      <c r="S32" s="473" t="str">
        <f ca="1">IF($A$9&lt;'5チーム2回戦総当たり結果記入用'!$AM$166,"",IF(S34="","",IF(S34&gt;U34,"○",IF(S34=U34,"△","●"))))</f>
        <v>●</v>
      </c>
      <c r="T32" s="468"/>
      <c r="U32" s="469"/>
      <c r="V32" s="445"/>
      <c r="W32" s="445"/>
      <c r="X32" s="445"/>
      <c r="Y32" s="445"/>
      <c r="Z32" s="445"/>
      <c r="AA32" s="445"/>
      <c r="AB32" s="445"/>
      <c r="AC32" s="445"/>
      <c r="AD32" s="463"/>
      <c r="AE32" s="464">
        <f>A32</f>
        <v>0</v>
      </c>
      <c r="AF32" s="464"/>
      <c r="AG32" s="464"/>
      <c r="AH32" s="464"/>
      <c r="AI32" s="464"/>
      <c r="AJ32" s="464"/>
      <c r="AK32" s="464"/>
      <c r="AL32" s="465"/>
      <c r="AS32" s="460"/>
      <c r="AT32" s="460"/>
      <c r="AZ32" s="81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3"/>
      <c r="BW32" s="83"/>
      <c r="BX32" s="413"/>
      <c r="BY32" s="448"/>
      <c r="BZ32" s="448"/>
      <c r="CA32" s="413"/>
      <c r="CB32" s="416"/>
    </row>
    <row r="33" spans="1:80" ht="15.95" customHeight="1" x14ac:dyDescent="0.15">
      <c r="A33" s="422"/>
      <c r="B33" s="423"/>
      <c r="C33" s="423"/>
      <c r="D33" s="423"/>
      <c r="E33" s="423"/>
      <c r="F33" s="424"/>
      <c r="G33" s="474"/>
      <c r="H33" s="471"/>
      <c r="I33" s="472"/>
      <c r="J33" s="474"/>
      <c r="K33" s="471"/>
      <c r="L33" s="472"/>
      <c r="M33" s="474"/>
      <c r="N33" s="471"/>
      <c r="O33" s="472"/>
      <c r="P33" s="434"/>
      <c r="Q33" s="435"/>
      <c r="R33" s="436"/>
      <c r="S33" s="474"/>
      <c r="T33" s="471"/>
      <c r="U33" s="472"/>
      <c r="V33" s="445"/>
      <c r="W33" s="445"/>
      <c r="X33" s="445"/>
      <c r="Y33" s="445"/>
      <c r="Z33" s="445"/>
      <c r="AA33" s="445"/>
      <c r="AB33" s="445"/>
      <c r="AC33" s="445"/>
      <c r="AD33" s="463"/>
      <c r="AE33" s="464"/>
      <c r="AF33" s="464"/>
      <c r="AG33" s="464"/>
      <c r="AH33" s="464"/>
      <c r="AI33" s="464"/>
      <c r="AJ33" s="464"/>
      <c r="AK33" s="464"/>
      <c r="AL33" s="465"/>
      <c r="AS33" s="460"/>
      <c r="AT33" s="460"/>
      <c r="AZ33" s="84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85"/>
      <c r="BW33" s="85"/>
      <c r="BX33" s="414"/>
      <c r="BY33" s="441"/>
      <c r="BZ33" s="441"/>
      <c r="CA33" s="414"/>
      <c r="CB33" s="417"/>
    </row>
    <row r="34" spans="1:80" ht="15.95" customHeight="1" x14ac:dyDescent="0.15">
      <c r="A34" s="425"/>
      <c r="B34" s="426"/>
      <c r="C34" s="426"/>
      <c r="D34" s="426"/>
      <c r="E34" s="426"/>
      <c r="F34" s="427"/>
      <c r="G34" s="79">
        <f ca="1">$R$16</f>
        <v>5</v>
      </c>
      <c r="H34" s="79" t="s">
        <v>38</v>
      </c>
      <c r="I34" s="80">
        <f ca="1">$P$16</f>
        <v>9</v>
      </c>
      <c r="J34" s="78" t="str">
        <f ca="1">$R$22</f>
        <v/>
      </c>
      <c r="K34" s="79" t="s">
        <v>67</v>
      </c>
      <c r="L34" s="80" t="str">
        <f ca="1">$P$22</f>
        <v/>
      </c>
      <c r="M34" s="78">
        <f ca="1">$R$28</f>
        <v>4</v>
      </c>
      <c r="N34" s="79" t="s">
        <v>67</v>
      </c>
      <c r="O34" s="80">
        <f ca="1">$P$28</f>
        <v>10</v>
      </c>
      <c r="P34" s="437"/>
      <c r="Q34" s="438"/>
      <c r="R34" s="439"/>
      <c r="S34" s="78">
        <f ca="1">IF($A$9&lt;'5チーム2回戦総当たり結果記入用'!$AM$166,"",'5チーム2回戦総当たり結果記入用'!$AL$166)</f>
        <v>2</v>
      </c>
      <c r="T34" s="79" t="s">
        <v>67</v>
      </c>
      <c r="U34" s="80">
        <f ca="1">IF($A$9&lt;'5チーム2回戦総当たり結果記入用'!$AM$166,"",'5チーム2回戦総当たり結果記入用'!$AK$166)</f>
        <v>15</v>
      </c>
      <c r="V34" s="445"/>
      <c r="W34" s="445"/>
      <c r="X34" s="445"/>
      <c r="Y34" s="445"/>
      <c r="Z34" s="445"/>
      <c r="AA34" s="445"/>
      <c r="AB34" s="445"/>
      <c r="AC34" s="445"/>
      <c r="AD34" s="463"/>
      <c r="AE34" s="464"/>
      <c r="AF34" s="464"/>
      <c r="AG34" s="464"/>
      <c r="AH34" s="464"/>
      <c r="AI34" s="464"/>
      <c r="AJ34" s="464"/>
      <c r="AK34" s="464"/>
      <c r="AL34" s="465"/>
      <c r="AS34" s="460"/>
      <c r="AT34" s="460"/>
      <c r="AZ34" s="86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415"/>
      <c r="BY34" s="449"/>
      <c r="BZ34" s="449"/>
      <c r="CA34" s="415"/>
      <c r="CB34" s="418"/>
    </row>
    <row r="35" spans="1:80" ht="15.95" customHeight="1" x14ac:dyDescent="0.15">
      <c r="A35" s="422" t="str">
        <f>'5チーム2回戦総当たりスケジュール作業表'!$X$10</f>
        <v>PURE</v>
      </c>
      <c r="B35" s="423"/>
      <c r="C35" s="423"/>
      <c r="D35" s="423"/>
      <c r="E35" s="423"/>
      <c r="F35" s="424"/>
      <c r="G35" s="474" t="str">
        <f ca="1">IF($A$9&lt;'5チーム2回戦総当たり結果記入用'!$AM$7,"",IF(G37="","",IF(G37&gt;I37,"○",IF(G37=I37,"△","●"))))</f>
        <v>○</v>
      </c>
      <c r="H35" s="471"/>
      <c r="I35" s="472"/>
      <c r="J35" s="474" t="str">
        <f ca="1">IF($A$9&lt;'5チーム2回戦総当たり結果記入用'!$AM$21,"",IF(J37="","",IF(J37&gt;L37,"○",IF(J37=L37,"△","●"))))</f>
        <v>○</v>
      </c>
      <c r="K35" s="471"/>
      <c r="L35" s="472"/>
      <c r="M35" s="474" t="str">
        <f ca="1">IF($A$9&lt;'5チーム2回戦総当たり結果記入用'!$AM$34,"",IF(M37="","",IF(M37&gt;O37,"○",IF(M37=O37,"△","●"))))</f>
        <v>●</v>
      </c>
      <c r="N35" s="471"/>
      <c r="O35" s="472"/>
      <c r="P35" s="474" t="str">
        <f ca="1">IF($A$9&lt;'5チーム2回戦総当たり結果記入用'!$AM$46,"",IF(P37="","",IF(P37&gt;R37,"○",IF(P37=R37,"△","●"))))</f>
        <v>○</v>
      </c>
      <c r="Q35" s="471"/>
      <c r="R35" s="472"/>
      <c r="S35" s="434"/>
      <c r="T35" s="435"/>
      <c r="U35" s="436"/>
      <c r="V35" s="444">
        <f ca="1">SUM(W35:Y40)</f>
        <v>8</v>
      </c>
      <c r="W35" s="444">
        <f ca="1">COUNTIF($G35:$U40,"○")</f>
        <v>5</v>
      </c>
      <c r="X35" s="444">
        <f ca="1">COUNTIF($G35:$U40,"△")</f>
        <v>0</v>
      </c>
      <c r="Y35" s="444">
        <f ca="1">COUNTIF($G35:$U40,"●")</f>
        <v>3</v>
      </c>
      <c r="Z35" s="444">
        <f t="shared" ref="Z35" ca="1" si="14">SUM(G37,J37,M37,P37,S37,G40,J40,M40,P40,S40)</f>
        <v>62</v>
      </c>
      <c r="AA35" s="444">
        <f t="shared" ref="AA35" ca="1" si="15">SUM(I37,L37,O37,R37,U37,I40,L40,O40,R40,U40)</f>
        <v>45</v>
      </c>
      <c r="AB35" s="444">
        <f ca="1">Z35-AA35</f>
        <v>17</v>
      </c>
      <c r="AC35" s="445">
        <f ca="1">W35*3+X35*1</f>
        <v>15</v>
      </c>
      <c r="AD35" s="463">
        <f t="shared" ref="AD35" ca="1" si="16">IF($A$9&lt;1,"",RANK(AS35,$AS$11:$AT$40,0))</f>
        <v>2</v>
      </c>
      <c r="AE35" s="464" t="str">
        <f>A35</f>
        <v>PURE</v>
      </c>
      <c r="AF35" s="464"/>
      <c r="AG35" s="464"/>
      <c r="AH35" s="464"/>
      <c r="AI35" s="464"/>
      <c r="AJ35" s="464"/>
      <c r="AK35" s="464"/>
      <c r="AL35" s="465">
        <f t="shared" ref="AL35" si="17">IF($A$9&lt;1,"",CB35)</f>
        <v>1</v>
      </c>
      <c r="AS35" s="460">
        <f ca="1">AC35*100+AB35+Z35/100</f>
        <v>1517.62</v>
      </c>
      <c r="AT35" s="460"/>
      <c r="AZ35" s="89" t="s">
        <v>36</v>
      </c>
      <c r="BA35" s="82"/>
      <c r="BB35" s="82">
        <v>2</v>
      </c>
      <c r="BC35" s="82">
        <v>1</v>
      </c>
      <c r="BD35" s="82">
        <v>0</v>
      </c>
      <c r="BE35" s="82">
        <v>0</v>
      </c>
      <c r="BF35" s="82"/>
      <c r="BG35" s="82">
        <v>1</v>
      </c>
      <c r="BH35" s="82">
        <v>1</v>
      </c>
      <c r="BI35" s="82">
        <v>1</v>
      </c>
      <c r="BJ35" s="82">
        <v>0</v>
      </c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90">
        <f t="shared" si="5"/>
        <v>6</v>
      </c>
      <c r="BW35" s="90">
        <f>BV35*1</f>
        <v>6</v>
      </c>
      <c r="BX35" s="446">
        <f>SUM(BW35:BW37)</f>
        <v>6</v>
      </c>
      <c r="BY35" s="448"/>
      <c r="BZ35" s="448"/>
      <c r="CA35" s="446">
        <f>SUM(BX35:BZ37)</f>
        <v>6</v>
      </c>
      <c r="CB35" s="461">
        <f>RANK(CA35,$CA$11:$CA$37,1)</f>
        <v>1</v>
      </c>
    </row>
    <row r="36" spans="1:80" ht="15.95" customHeight="1" x14ac:dyDescent="0.15">
      <c r="A36" s="422"/>
      <c r="B36" s="423"/>
      <c r="C36" s="423"/>
      <c r="D36" s="423"/>
      <c r="E36" s="423"/>
      <c r="F36" s="424"/>
      <c r="G36" s="474"/>
      <c r="H36" s="471"/>
      <c r="I36" s="472"/>
      <c r="J36" s="474"/>
      <c r="K36" s="471"/>
      <c r="L36" s="472"/>
      <c r="M36" s="474"/>
      <c r="N36" s="471"/>
      <c r="O36" s="472"/>
      <c r="P36" s="474"/>
      <c r="Q36" s="471"/>
      <c r="R36" s="472"/>
      <c r="S36" s="434"/>
      <c r="T36" s="435"/>
      <c r="U36" s="436"/>
      <c r="V36" s="444"/>
      <c r="W36" s="444"/>
      <c r="X36" s="444"/>
      <c r="Y36" s="444"/>
      <c r="Z36" s="444"/>
      <c r="AA36" s="444"/>
      <c r="AB36" s="444"/>
      <c r="AC36" s="445"/>
      <c r="AD36" s="463"/>
      <c r="AE36" s="464"/>
      <c r="AF36" s="464"/>
      <c r="AG36" s="464"/>
      <c r="AH36" s="464"/>
      <c r="AI36" s="464"/>
      <c r="AJ36" s="464"/>
      <c r="AK36" s="464"/>
      <c r="AL36" s="465"/>
      <c r="AS36" s="460"/>
      <c r="AT36" s="460"/>
      <c r="AZ36" s="75" t="s">
        <v>37</v>
      </c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7">
        <f t="shared" si="5"/>
        <v>0</v>
      </c>
      <c r="BW36" s="77">
        <f>BV36*5</f>
        <v>0</v>
      </c>
      <c r="BX36" s="440"/>
      <c r="BY36" s="441"/>
      <c r="BZ36" s="441"/>
      <c r="CA36" s="440"/>
      <c r="CB36" s="442"/>
    </row>
    <row r="37" spans="1:80" ht="15.95" customHeight="1" x14ac:dyDescent="0.15">
      <c r="A37" s="422"/>
      <c r="B37" s="423"/>
      <c r="C37" s="423"/>
      <c r="D37" s="423"/>
      <c r="E37" s="423"/>
      <c r="F37" s="424"/>
      <c r="G37" s="79">
        <f ca="1">$U$13</f>
        <v>11</v>
      </c>
      <c r="H37" s="79" t="s">
        <v>38</v>
      </c>
      <c r="I37" s="80">
        <f ca="1">$S$13</f>
        <v>3</v>
      </c>
      <c r="J37" s="78">
        <f ca="1">$U$19</f>
        <v>3</v>
      </c>
      <c r="K37" s="79" t="s">
        <v>67</v>
      </c>
      <c r="L37" s="80">
        <f ca="1">$S$19</f>
        <v>2</v>
      </c>
      <c r="M37" s="78">
        <f ca="1">$U$25</f>
        <v>1</v>
      </c>
      <c r="N37" s="79" t="s">
        <v>67</v>
      </c>
      <c r="O37" s="80">
        <f ca="1">$S$25</f>
        <v>8</v>
      </c>
      <c r="P37" s="78">
        <f ca="1">$U$31</f>
        <v>11</v>
      </c>
      <c r="Q37" s="79" t="s">
        <v>67</v>
      </c>
      <c r="R37" s="80">
        <f ca="1">$S$31</f>
        <v>8</v>
      </c>
      <c r="S37" s="437"/>
      <c r="T37" s="438"/>
      <c r="U37" s="439"/>
      <c r="V37" s="444"/>
      <c r="W37" s="444"/>
      <c r="X37" s="444"/>
      <c r="Y37" s="444"/>
      <c r="Z37" s="444"/>
      <c r="AA37" s="444"/>
      <c r="AB37" s="444"/>
      <c r="AC37" s="445"/>
      <c r="AD37" s="463"/>
      <c r="AE37" s="464"/>
      <c r="AF37" s="464"/>
      <c r="AG37" s="464"/>
      <c r="AH37" s="464"/>
      <c r="AI37" s="464"/>
      <c r="AJ37" s="464"/>
      <c r="AK37" s="464"/>
      <c r="AL37" s="465"/>
      <c r="AS37" s="460"/>
      <c r="AT37" s="460"/>
      <c r="AZ37" s="91" t="s">
        <v>39</v>
      </c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92">
        <f t="shared" si="5"/>
        <v>0</v>
      </c>
      <c r="BW37" s="92">
        <f>BV37*10</f>
        <v>0</v>
      </c>
      <c r="BX37" s="447"/>
      <c r="BY37" s="449"/>
      <c r="BZ37" s="449"/>
      <c r="CA37" s="447"/>
      <c r="CB37" s="462"/>
    </row>
    <row r="38" spans="1:80" ht="15.95" customHeight="1" x14ac:dyDescent="0.15">
      <c r="A38" s="422"/>
      <c r="B38" s="423"/>
      <c r="C38" s="423"/>
      <c r="D38" s="423"/>
      <c r="E38" s="423"/>
      <c r="F38" s="424"/>
      <c r="G38" s="474" t="str">
        <f ca="1">IF($A$9&lt;'5チーム2回戦総当たり結果記入用'!$AM$127,"",IF(G40="","",IF(G40&gt;I40,"○",IF(G40=I40,"△","●"))))</f>
        <v>○</v>
      </c>
      <c r="H38" s="471"/>
      <c r="I38" s="472"/>
      <c r="J38" s="473" t="str">
        <f ca="1">IF($A$9&lt;'5チーム2回戦総当たり結果記入用'!$AM$141,"",IF(J40="","",IF(J40&gt;L40,"○",IF(J40=L40,"△","●"))))</f>
        <v>●</v>
      </c>
      <c r="K38" s="468"/>
      <c r="L38" s="469"/>
      <c r="M38" s="473" t="str">
        <f ca="1">IF($A$9&lt;'5チーム2回戦総当たり結果記入用'!$AM$154,"",IF(M40="","",IF(M40&gt;O40,"○",IF(M40=O40,"△","●"))))</f>
        <v>●</v>
      </c>
      <c r="N38" s="468"/>
      <c r="O38" s="469"/>
      <c r="P38" s="473" t="str">
        <f ca="1">IF($A$9&lt;'5チーム2回戦総当たり結果記入用'!$AM$166,"",IF(P40="","",IF(P40&gt;R40,"○",IF(P40=R40,"△","●"))))</f>
        <v>○</v>
      </c>
      <c r="Q38" s="468"/>
      <c r="R38" s="469"/>
      <c r="S38" s="431"/>
      <c r="T38" s="432"/>
      <c r="U38" s="433"/>
      <c r="V38" s="444"/>
      <c r="W38" s="444"/>
      <c r="X38" s="444"/>
      <c r="Y38" s="444"/>
      <c r="Z38" s="444"/>
      <c r="AA38" s="444"/>
      <c r="AB38" s="444"/>
      <c r="AC38" s="445"/>
      <c r="AD38" s="463"/>
      <c r="AE38" s="464">
        <f>A38</f>
        <v>0</v>
      </c>
      <c r="AF38" s="464"/>
      <c r="AG38" s="464"/>
      <c r="AH38" s="464"/>
      <c r="AI38" s="464"/>
      <c r="AJ38" s="464"/>
      <c r="AK38" s="464"/>
      <c r="AL38" s="465"/>
      <c r="AS38" s="460"/>
      <c r="AT38" s="460"/>
      <c r="AZ38" s="81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3"/>
      <c r="BW38" s="83"/>
      <c r="BX38" s="413"/>
      <c r="BY38" s="448"/>
      <c r="BZ38" s="448"/>
      <c r="CA38" s="413"/>
      <c r="CB38" s="416"/>
    </row>
    <row r="39" spans="1:80" ht="15.95" customHeight="1" x14ac:dyDescent="0.15">
      <c r="A39" s="422"/>
      <c r="B39" s="423"/>
      <c r="C39" s="423"/>
      <c r="D39" s="423"/>
      <c r="E39" s="423"/>
      <c r="F39" s="424"/>
      <c r="G39" s="474"/>
      <c r="H39" s="471"/>
      <c r="I39" s="472"/>
      <c r="J39" s="474"/>
      <c r="K39" s="471"/>
      <c r="L39" s="472"/>
      <c r="M39" s="474"/>
      <c r="N39" s="471"/>
      <c r="O39" s="472"/>
      <c r="P39" s="474"/>
      <c r="Q39" s="471"/>
      <c r="R39" s="472"/>
      <c r="S39" s="434"/>
      <c r="T39" s="435"/>
      <c r="U39" s="436"/>
      <c r="V39" s="444"/>
      <c r="W39" s="444"/>
      <c r="X39" s="444"/>
      <c r="Y39" s="444"/>
      <c r="Z39" s="444"/>
      <c r="AA39" s="444"/>
      <c r="AB39" s="444"/>
      <c r="AC39" s="445"/>
      <c r="AD39" s="463"/>
      <c r="AE39" s="464"/>
      <c r="AF39" s="464"/>
      <c r="AG39" s="464"/>
      <c r="AH39" s="464"/>
      <c r="AI39" s="464"/>
      <c r="AJ39" s="464"/>
      <c r="AK39" s="464"/>
      <c r="AL39" s="465"/>
      <c r="AS39" s="460"/>
      <c r="AT39" s="460"/>
      <c r="AZ39" s="84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85"/>
      <c r="BW39" s="85"/>
      <c r="BX39" s="414"/>
      <c r="BY39" s="441"/>
      <c r="BZ39" s="441"/>
      <c r="CA39" s="414"/>
      <c r="CB39" s="417"/>
    </row>
    <row r="40" spans="1:80" ht="15.95" customHeight="1" x14ac:dyDescent="0.15">
      <c r="A40" s="425"/>
      <c r="B40" s="426"/>
      <c r="C40" s="426"/>
      <c r="D40" s="426"/>
      <c r="E40" s="426"/>
      <c r="F40" s="427"/>
      <c r="G40" s="79">
        <f ca="1">$U$16</f>
        <v>11</v>
      </c>
      <c r="H40" s="79" t="s">
        <v>38</v>
      </c>
      <c r="I40" s="80">
        <f ca="1">$S$16</f>
        <v>9</v>
      </c>
      <c r="J40" s="78">
        <f ca="1">$U$22</f>
        <v>4</v>
      </c>
      <c r="K40" s="79" t="s">
        <v>67</v>
      </c>
      <c r="L40" s="80">
        <f ca="1">$S$22</f>
        <v>6</v>
      </c>
      <c r="M40" s="78">
        <f ca="1">$U$28</f>
        <v>6</v>
      </c>
      <c r="N40" s="79" t="s">
        <v>67</v>
      </c>
      <c r="O40" s="80">
        <f ca="1">$S$28</f>
        <v>7</v>
      </c>
      <c r="P40" s="78">
        <f ca="1">$U$34</f>
        <v>15</v>
      </c>
      <c r="Q40" s="79" t="s">
        <v>67</v>
      </c>
      <c r="R40" s="80">
        <f ca="1">$S$34</f>
        <v>2</v>
      </c>
      <c r="S40" s="437"/>
      <c r="T40" s="438"/>
      <c r="U40" s="439"/>
      <c r="V40" s="466"/>
      <c r="W40" s="466"/>
      <c r="X40" s="466"/>
      <c r="Y40" s="466"/>
      <c r="Z40" s="466"/>
      <c r="AA40" s="466"/>
      <c r="AB40" s="466"/>
      <c r="AC40" s="445"/>
      <c r="AD40" s="463"/>
      <c r="AE40" s="464"/>
      <c r="AF40" s="464"/>
      <c r="AG40" s="464"/>
      <c r="AH40" s="464"/>
      <c r="AI40" s="464"/>
      <c r="AJ40" s="464"/>
      <c r="AK40" s="464"/>
      <c r="AL40" s="465"/>
      <c r="AS40" s="460"/>
      <c r="AT40" s="460"/>
      <c r="AZ40" s="86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415"/>
      <c r="BY40" s="449"/>
      <c r="BZ40" s="449"/>
      <c r="CA40" s="415"/>
      <c r="CB40" s="418"/>
    </row>
  </sheetData>
  <sheetProtection algorithmName="SHA-512" hashValue="wdJutzXTVd3m64G4EBIeTZzNAhqov5nDoOmi82tfb9sLhZFK61AHHsSsP0H/JIYoSJMpEOdRZuI1k9vXVZmTIQ==" saltValue="junS+MBK6IW5fO2+7Js91w==" spinCount="100000" sheet="1" objects="1" scenarios="1" formatCells="0"/>
  <mergeCells count="194">
    <mergeCell ref="BY38:BY40"/>
    <mergeCell ref="BZ38:BZ40"/>
    <mergeCell ref="CA38:CA40"/>
    <mergeCell ref="CB38:CB40"/>
    <mergeCell ref="A2:G2"/>
    <mergeCell ref="AL4:AL10"/>
    <mergeCell ref="H2:Z2"/>
    <mergeCell ref="G38:I39"/>
    <mergeCell ref="J38:L39"/>
    <mergeCell ref="M38:O39"/>
    <mergeCell ref="P38:R39"/>
    <mergeCell ref="S38:U40"/>
    <mergeCell ref="AS38:AT40"/>
    <mergeCell ref="AS35:AT37"/>
    <mergeCell ref="BX35:BX37"/>
    <mergeCell ref="BY35:BY37"/>
    <mergeCell ref="BZ35:BZ37"/>
    <mergeCell ref="CA35:CA37"/>
    <mergeCell ref="CB35:CB37"/>
    <mergeCell ref="AA35:AA40"/>
    <mergeCell ref="AB35:AB40"/>
    <mergeCell ref="AC35:AC40"/>
    <mergeCell ref="AD35:AD40"/>
    <mergeCell ref="AE35:AK40"/>
    <mergeCell ref="AL35:AL40"/>
    <mergeCell ref="S35:U37"/>
    <mergeCell ref="V35:V40"/>
    <mergeCell ref="W35:W40"/>
    <mergeCell ref="X35:X40"/>
    <mergeCell ref="Y35:Y40"/>
    <mergeCell ref="Z35:Z40"/>
    <mergeCell ref="BX32:BX34"/>
    <mergeCell ref="BX38:BX40"/>
    <mergeCell ref="A35:F40"/>
    <mergeCell ref="G35:I36"/>
    <mergeCell ref="J35:L36"/>
    <mergeCell ref="M35:O36"/>
    <mergeCell ref="P35:R36"/>
    <mergeCell ref="G32:I33"/>
    <mergeCell ref="J32:L33"/>
    <mergeCell ref="M32:O33"/>
    <mergeCell ref="P32:R34"/>
    <mergeCell ref="A29:F34"/>
    <mergeCell ref="G29:I30"/>
    <mergeCell ref="J29:L30"/>
    <mergeCell ref="M29:O30"/>
    <mergeCell ref="P29:R31"/>
    <mergeCell ref="CA29:CA31"/>
    <mergeCell ref="CB29:CB31"/>
    <mergeCell ref="AA29:AA34"/>
    <mergeCell ref="AB29:AB34"/>
    <mergeCell ref="AC29:AC34"/>
    <mergeCell ref="AD29:AD34"/>
    <mergeCell ref="AE29:AK34"/>
    <mergeCell ref="AL29:AL34"/>
    <mergeCell ref="BY32:BY34"/>
    <mergeCell ref="BZ32:BZ34"/>
    <mergeCell ref="CA32:CA34"/>
    <mergeCell ref="CB32:CB34"/>
    <mergeCell ref="AS32:AT34"/>
    <mergeCell ref="S29:U30"/>
    <mergeCell ref="V29:V34"/>
    <mergeCell ref="W29:W34"/>
    <mergeCell ref="X29:X34"/>
    <mergeCell ref="Y29:Y34"/>
    <mergeCell ref="Z29:Z34"/>
    <mergeCell ref="BX26:BX28"/>
    <mergeCell ref="BY26:BY28"/>
    <mergeCell ref="BZ26:BZ28"/>
    <mergeCell ref="AS29:AT31"/>
    <mergeCell ref="BX29:BX31"/>
    <mergeCell ref="BY29:BY31"/>
    <mergeCell ref="BZ29:BZ31"/>
    <mergeCell ref="S32:U33"/>
    <mergeCell ref="S26:U27"/>
    <mergeCell ref="CB23:CB25"/>
    <mergeCell ref="AA23:AA28"/>
    <mergeCell ref="AB23:AB28"/>
    <mergeCell ref="AC23:AC28"/>
    <mergeCell ref="AD23:AD28"/>
    <mergeCell ref="AE23:AK28"/>
    <mergeCell ref="AL23:AL28"/>
    <mergeCell ref="CA26:CA28"/>
    <mergeCell ref="CB26:CB28"/>
    <mergeCell ref="AS26:AT28"/>
    <mergeCell ref="AS23:AT25"/>
    <mergeCell ref="BX23:BX25"/>
    <mergeCell ref="BY23:BY25"/>
    <mergeCell ref="BZ23:BZ25"/>
    <mergeCell ref="A23:F28"/>
    <mergeCell ref="G23:I24"/>
    <mergeCell ref="J23:L24"/>
    <mergeCell ref="M23:O25"/>
    <mergeCell ref="P23:R24"/>
    <mergeCell ref="G26:I27"/>
    <mergeCell ref="J26:L27"/>
    <mergeCell ref="M26:O28"/>
    <mergeCell ref="P26:R27"/>
    <mergeCell ref="S23:U24"/>
    <mergeCell ref="V23:V28"/>
    <mergeCell ref="W23:W28"/>
    <mergeCell ref="X23:X28"/>
    <mergeCell ref="Y23:Y28"/>
    <mergeCell ref="Z23:Z28"/>
    <mergeCell ref="BY17:BY19"/>
    <mergeCell ref="BZ17:BZ19"/>
    <mergeCell ref="CA17:CA19"/>
    <mergeCell ref="S20:U21"/>
    <mergeCell ref="CA23:CA25"/>
    <mergeCell ref="CB17:CB19"/>
    <mergeCell ref="AA17:AA22"/>
    <mergeCell ref="AB17:AB22"/>
    <mergeCell ref="AC17:AC22"/>
    <mergeCell ref="AD17:AD22"/>
    <mergeCell ref="AE17:AK22"/>
    <mergeCell ref="AL17:AL22"/>
    <mergeCell ref="CA20:CA22"/>
    <mergeCell ref="CB20:CB22"/>
    <mergeCell ref="AS20:AT22"/>
    <mergeCell ref="BX20:BX22"/>
    <mergeCell ref="BY20:BY22"/>
    <mergeCell ref="BZ20:BZ22"/>
    <mergeCell ref="AS17:AT19"/>
    <mergeCell ref="BY14:BY16"/>
    <mergeCell ref="BZ14:BZ16"/>
    <mergeCell ref="V11:V16"/>
    <mergeCell ref="W11:W16"/>
    <mergeCell ref="X11:X16"/>
    <mergeCell ref="Y11:Y16"/>
    <mergeCell ref="Z11:Z16"/>
    <mergeCell ref="AA11:AA16"/>
    <mergeCell ref="AC11:AC16"/>
    <mergeCell ref="AD11:AD16"/>
    <mergeCell ref="AE11:AK16"/>
    <mergeCell ref="AL11:AL16"/>
    <mergeCell ref="AS11:AT13"/>
    <mergeCell ref="AS14:AT16"/>
    <mergeCell ref="A11:F16"/>
    <mergeCell ref="G11:I13"/>
    <mergeCell ref="J11:L12"/>
    <mergeCell ref="M11:O12"/>
    <mergeCell ref="P11:R12"/>
    <mergeCell ref="S11:U12"/>
    <mergeCell ref="BX14:BX16"/>
    <mergeCell ref="BX17:BX19"/>
    <mergeCell ref="G20:I21"/>
    <mergeCell ref="J20:L22"/>
    <mergeCell ref="M20:O21"/>
    <mergeCell ref="P20:R21"/>
    <mergeCell ref="CA14:CA16"/>
    <mergeCell ref="CB14:CB16"/>
    <mergeCell ref="A17:F22"/>
    <mergeCell ref="G17:I18"/>
    <mergeCell ref="J17:L19"/>
    <mergeCell ref="M17:O18"/>
    <mergeCell ref="P17:R18"/>
    <mergeCell ref="BX11:BX13"/>
    <mergeCell ref="BY11:BY13"/>
    <mergeCell ref="BZ11:BZ13"/>
    <mergeCell ref="CA11:CA13"/>
    <mergeCell ref="CB11:CB13"/>
    <mergeCell ref="G14:I16"/>
    <mergeCell ref="J14:L15"/>
    <mergeCell ref="M14:O15"/>
    <mergeCell ref="P14:R15"/>
    <mergeCell ref="S14:U15"/>
    <mergeCell ref="AB11:AB16"/>
    <mergeCell ref="S17:U18"/>
    <mergeCell ref="V17:V22"/>
    <mergeCell ref="W17:W22"/>
    <mergeCell ref="X17:X22"/>
    <mergeCell ref="Y17:Y22"/>
    <mergeCell ref="Z17:Z22"/>
    <mergeCell ref="A1:AL1"/>
    <mergeCell ref="G4:I10"/>
    <mergeCell ref="J4:L10"/>
    <mergeCell ref="M4:O10"/>
    <mergeCell ref="P4:R10"/>
    <mergeCell ref="S4:U10"/>
    <mergeCell ref="AC5:AD5"/>
    <mergeCell ref="AC6:AD6"/>
    <mergeCell ref="AC7:AD7"/>
    <mergeCell ref="V8:AD8"/>
    <mergeCell ref="A9:F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K10"/>
  </mergeCells>
  <phoneticPr fontId="21"/>
  <printOptions horizontalCentered="1"/>
  <pageMargins left="0.39370078740157483" right="0.39370078740157483" top="0.39370078740157483" bottom="0" header="0.51181102362204722" footer="0.51181102362204722"/>
  <pageSetup paperSize="9" scale="84" orientation="landscape" r:id="rId1"/>
  <headerFooter alignWithMargins="0"/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40"/>
  <sheetViews>
    <sheetView topLeftCell="A13" zoomScale="60" zoomScaleNormal="60" workbookViewId="0">
      <selection activeCell="BG23" sqref="BG23"/>
    </sheetView>
  </sheetViews>
  <sheetFormatPr defaultColWidth="10.28515625" defaultRowHeight="16.5" x14ac:dyDescent="0.15"/>
  <cols>
    <col min="1" max="6" width="4.7109375" style="63" customWidth="1"/>
    <col min="7" max="21" width="3.7109375" style="63" customWidth="1"/>
    <col min="22" max="30" width="7.7109375" style="63" customWidth="1"/>
    <col min="31" max="37" width="3.28515625" style="63" customWidth="1"/>
    <col min="38" max="38" width="6.7109375" style="64" customWidth="1"/>
    <col min="39" max="39" width="3.28515625" style="63" customWidth="1"/>
    <col min="40" max="43" width="3.28515625" style="63" hidden="1" customWidth="1"/>
    <col min="44" max="44" width="3.28515625" style="63" customWidth="1"/>
    <col min="45" max="46" width="6.85546875" style="63" customWidth="1"/>
    <col min="47" max="48" width="3.28515625" style="64" hidden="1" customWidth="1"/>
    <col min="49" max="49" width="1.42578125" style="64" hidden="1" customWidth="1"/>
    <col min="50" max="50" width="3.28515625" style="64" hidden="1" customWidth="1"/>
    <col min="51" max="51" width="3" style="64" customWidth="1"/>
    <col min="52" max="52" width="12" style="64" customWidth="1"/>
    <col min="53" max="62" width="6.28515625" style="64" customWidth="1"/>
    <col min="63" max="73" width="6.28515625" style="64" hidden="1" customWidth="1"/>
    <col min="74" max="76" width="7.5703125" style="64" customWidth="1"/>
    <col min="77" max="78" width="6.42578125" style="64" customWidth="1"/>
    <col min="79" max="80" width="7.5703125" style="64" customWidth="1"/>
    <col min="81" max="84" width="3.28515625" style="63" customWidth="1"/>
    <col min="85" max="135" width="3" style="63" customWidth="1"/>
    <col min="136" max="16384" width="10.28515625" style="63"/>
  </cols>
  <sheetData>
    <row r="1" spans="1:95" ht="50.1" customHeight="1" x14ac:dyDescent="0.15">
      <c r="A1" s="513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63"/>
      <c r="BC1" s="63"/>
      <c r="BD1" s="63"/>
      <c r="BE1" s="63"/>
      <c r="BF1" s="63"/>
      <c r="BG1" s="63"/>
      <c r="BH1" s="63"/>
      <c r="BI1" s="63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</row>
    <row r="2" spans="1:95" s="365" customFormat="1" ht="37.5" x14ac:dyDescent="0.15">
      <c r="A2" s="516" t="str">
        <f>"★"&amp;'5チーム2回戦総当たりスケジュール作業表'!C1&amp;"リーグ"</f>
        <v>★木曜リーグ</v>
      </c>
      <c r="B2" s="517"/>
      <c r="C2" s="517"/>
      <c r="D2" s="517"/>
      <c r="E2" s="517"/>
      <c r="F2" s="517"/>
      <c r="G2" s="517"/>
      <c r="H2" s="516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93" t="s">
        <v>125</v>
      </c>
      <c r="AB2" s="311"/>
      <c r="AC2" s="311"/>
      <c r="AD2" s="311"/>
      <c r="AE2" s="311"/>
      <c r="AF2" s="311"/>
      <c r="AG2" s="311"/>
      <c r="AH2" s="311"/>
      <c r="AI2" s="311"/>
      <c r="AJ2" s="93"/>
      <c r="AK2" s="367"/>
      <c r="AL2" s="367"/>
      <c r="AM2" s="367"/>
      <c r="AN2" s="374"/>
      <c r="AO2" s="374"/>
      <c r="AP2" s="374"/>
      <c r="AQ2" s="374"/>
      <c r="AR2" s="374"/>
      <c r="AS2" s="374"/>
      <c r="AT2" s="374"/>
      <c r="AU2" s="374"/>
      <c r="AV2" s="374"/>
      <c r="AW2" s="367"/>
      <c r="AX2" s="367"/>
      <c r="AY2" s="367"/>
      <c r="AZ2" s="367"/>
      <c r="BA2" s="375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</row>
    <row r="3" spans="1:95" ht="9.9499999999999993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67"/>
      <c r="X3" s="67"/>
      <c r="Y3" s="67"/>
      <c r="Z3" s="67"/>
      <c r="AA3" s="67"/>
      <c r="AB3" s="67"/>
      <c r="AC3" s="67"/>
      <c r="AD3" s="67"/>
      <c r="AE3" s="68"/>
      <c r="AF3" s="68"/>
      <c r="AG3" s="68"/>
      <c r="AH3" s="68"/>
      <c r="AI3" s="68"/>
      <c r="AJ3" s="68"/>
      <c r="AK3" s="68"/>
      <c r="AL3" s="368"/>
    </row>
    <row r="4" spans="1:95" ht="15" customHeight="1" x14ac:dyDescent="0.15">
      <c r="A4" s="68"/>
      <c r="B4" s="68"/>
      <c r="C4" s="68"/>
      <c r="D4" s="68"/>
      <c r="E4" s="68"/>
      <c r="F4" s="68"/>
      <c r="G4" s="491" t="str">
        <f>A11</f>
        <v>T-25</v>
      </c>
      <c r="H4" s="491"/>
      <c r="I4" s="491"/>
      <c r="J4" s="491" t="str">
        <f>A17</f>
        <v>Etelia</v>
      </c>
      <c r="K4" s="491"/>
      <c r="L4" s="491"/>
      <c r="M4" s="491" t="str">
        <f>A23</f>
        <v>うなぎ</v>
      </c>
      <c r="N4" s="491"/>
      <c r="O4" s="491"/>
      <c r="P4" s="491" t="str">
        <f>A29</f>
        <v>飛杉田新地</v>
      </c>
      <c r="Q4" s="491"/>
      <c r="R4" s="491"/>
      <c r="S4" s="491" t="str">
        <f>A35</f>
        <v>PURE</v>
      </c>
      <c r="T4" s="491"/>
      <c r="U4" s="491"/>
      <c r="V4" s="65"/>
      <c r="W4" s="65"/>
      <c r="X4" s="65"/>
      <c r="Y4" s="65"/>
      <c r="Z4" s="65"/>
      <c r="AA4" s="65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518" t="s">
        <v>16</v>
      </c>
    </row>
    <row r="5" spans="1:95" ht="15" customHeight="1" x14ac:dyDescent="0.15">
      <c r="A5" s="68"/>
      <c r="B5" s="68"/>
      <c r="C5" s="68"/>
      <c r="D5" s="68"/>
      <c r="E5" s="68"/>
      <c r="F5" s="68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65"/>
      <c r="W5" s="65"/>
      <c r="X5" s="65"/>
      <c r="Y5" s="65"/>
      <c r="Z5" s="65"/>
      <c r="AA5" s="65"/>
      <c r="AB5" s="69" t="s">
        <v>17</v>
      </c>
      <c r="AC5" s="395" t="s">
        <v>18</v>
      </c>
      <c r="AD5" s="395"/>
      <c r="AE5" s="68"/>
      <c r="AF5" s="68"/>
      <c r="AG5" s="68"/>
      <c r="AH5" s="68"/>
      <c r="AI5" s="68"/>
      <c r="AJ5" s="68"/>
      <c r="AK5" s="68"/>
      <c r="AL5" s="519"/>
    </row>
    <row r="6" spans="1:95" ht="15" customHeight="1" x14ac:dyDescent="0.15">
      <c r="A6" s="68"/>
      <c r="B6" s="68"/>
      <c r="C6" s="68"/>
      <c r="D6" s="68"/>
      <c r="E6" s="68"/>
      <c r="F6" s="68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65"/>
      <c r="W6" s="65"/>
      <c r="X6" s="65"/>
      <c r="Y6" s="65"/>
      <c r="Z6" s="65"/>
      <c r="AA6" s="65"/>
      <c r="AB6" s="69" t="s">
        <v>19</v>
      </c>
      <c r="AC6" s="395" t="s">
        <v>20</v>
      </c>
      <c r="AD6" s="395"/>
      <c r="AE6" s="68"/>
      <c r="AF6" s="68"/>
      <c r="AG6" s="68"/>
      <c r="AH6" s="68"/>
      <c r="AI6" s="68"/>
      <c r="AJ6" s="68"/>
      <c r="AK6" s="68"/>
      <c r="AL6" s="519"/>
    </row>
    <row r="7" spans="1:95" ht="15" customHeight="1" x14ac:dyDescent="0.15">
      <c r="A7" s="68"/>
      <c r="B7" s="68"/>
      <c r="C7" s="68"/>
      <c r="D7" s="68"/>
      <c r="E7" s="68"/>
      <c r="F7" s="68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68"/>
      <c r="W7" s="68"/>
      <c r="X7" s="68"/>
      <c r="Y7" s="68"/>
      <c r="Z7" s="68"/>
      <c r="AA7" s="68"/>
      <c r="AB7" s="69" t="s">
        <v>72</v>
      </c>
      <c r="AC7" s="395" t="s">
        <v>21</v>
      </c>
      <c r="AD7" s="395"/>
      <c r="AE7" s="68"/>
      <c r="AF7" s="68"/>
      <c r="AG7" s="68"/>
      <c r="AH7" s="68"/>
      <c r="AI7" s="68"/>
      <c r="AJ7" s="68"/>
      <c r="AK7" s="68"/>
      <c r="AL7" s="519"/>
    </row>
    <row r="8" spans="1:95" ht="15" customHeight="1" x14ac:dyDescent="0.15">
      <c r="A8" s="68"/>
      <c r="B8" s="68"/>
      <c r="C8" s="68"/>
      <c r="D8" s="68"/>
      <c r="E8" s="68"/>
      <c r="F8" s="68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396" t="s">
        <v>22</v>
      </c>
      <c r="W8" s="396"/>
      <c r="X8" s="396"/>
      <c r="Y8" s="396"/>
      <c r="Z8" s="396"/>
      <c r="AA8" s="396"/>
      <c r="AB8" s="396"/>
      <c r="AC8" s="396"/>
      <c r="AD8" s="396"/>
      <c r="AE8" s="68"/>
      <c r="AF8" s="68"/>
      <c r="AG8" s="68"/>
      <c r="AH8" s="68"/>
      <c r="AI8" s="68"/>
      <c r="AJ8" s="68"/>
      <c r="AK8" s="68"/>
      <c r="AL8" s="519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</row>
    <row r="9" spans="1:95" ht="15" customHeight="1" x14ac:dyDescent="0.15">
      <c r="A9" s="485">
        <f>記録用紙!A2</f>
        <v>10</v>
      </c>
      <c r="B9" s="486"/>
      <c r="C9" s="486"/>
      <c r="D9" s="486"/>
      <c r="E9" s="486"/>
      <c r="F9" s="487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502" t="s">
        <v>23</v>
      </c>
      <c r="W9" s="504" t="s">
        <v>24</v>
      </c>
      <c r="X9" s="504" t="s">
        <v>26</v>
      </c>
      <c r="Y9" s="504" t="s">
        <v>25</v>
      </c>
      <c r="Z9" s="504" t="s">
        <v>27</v>
      </c>
      <c r="AA9" s="504" t="s">
        <v>28</v>
      </c>
      <c r="AB9" s="504" t="s">
        <v>29</v>
      </c>
      <c r="AC9" s="504" t="s">
        <v>30</v>
      </c>
      <c r="AD9" s="504" t="s">
        <v>31</v>
      </c>
      <c r="AE9" s="506" t="s">
        <v>32</v>
      </c>
      <c r="AF9" s="507"/>
      <c r="AG9" s="507"/>
      <c r="AH9" s="507"/>
      <c r="AI9" s="507"/>
      <c r="AJ9" s="507"/>
      <c r="AK9" s="508"/>
      <c r="AL9" s="519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</row>
    <row r="10" spans="1:95" ht="15" customHeight="1" thickBot="1" x14ac:dyDescent="0.2">
      <c r="A10" s="488"/>
      <c r="B10" s="489"/>
      <c r="C10" s="489"/>
      <c r="D10" s="489"/>
      <c r="E10" s="489"/>
      <c r="F10" s="490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503"/>
      <c r="W10" s="505"/>
      <c r="X10" s="505"/>
      <c r="Y10" s="505"/>
      <c r="Z10" s="505"/>
      <c r="AA10" s="505"/>
      <c r="AB10" s="505"/>
      <c r="AC10" s="505"/>
      <c r="AD10" s="505"/>
      <c r="AE10" s="509"/>
      <c r="AF10" s="510"/>
      <c r="AG10" s="510"/>
      <c r="AH10" s="510"/>
      <c r="AI10" s="510"/>
      <c r="AJ10" s="510"/>
      <c r="AK10" s="511"/>
      <c r="AL10" s="520"/>
      <c r="AZ10" s="71"/>
      <c r="BA10" s="72">
        <v>1</v>
      </c>
      <c r="BB10" s="72">
        <v>2</v>
      </c>
      <c r="BC10" s="72">
        <v>3</v>
      </c>
      <c r="BD10" s="72">
        <v>4</v>
      </c>
      <c r="BE10" s="72">
        <v>5</v>
      </c>
      <c r="BF10" s="72">
        <v>6</v>
      </c>
      <c r="BG10" s="72">
        <v>7</v>
      </c>
      <c r="BH10" s="72">
        <v>8</v>
      </c>
      <c r="BI10" s="72">
        <v>9</v>
      </c>
      <c r="BJ10" s="72">
        <v>10</v>
      </c>
      <c r="BK10" s="72">
        <v>11</v>
      </c>
      <c r="BL10" s="72">
        <v>12</v>
      </c>
      <c r="BM10" s="72">
        <v>13</v>
      </c>
      <c r="BN10" s="72">
        <v>14</v>
      </c>
      <c r="BO10" s="72">
        <v>15</v>
      </c>
      <c r="BP10" s="72">
        <v>16</v>
      </c>
      <c r="BQ10" s="72">
        <v>17</v>
      </c>
      <c r="BR10" s="72">
        <v>18</v>
      </c>
      <c r="BS10" s="72">
        <v>19</v>
      </c>
      <c r="BT10" s="72">
        <v>20</v>
      </c>
      <c r="BU10" s="72">
        <v>21</v>
      </c>
      <c r="BV10" s="72" t="s">
        <v>73</v>
      </c>
      <c r="BW10" s="72" t="s">
        <v>74</v>
      </c>
      <c r="BX10" s="72"/>
      <c r="BY10" s="73" t="s">
        <v>33</v>
      </c>
      <c r="BZ10" s="73" t="s">
        <v>34</v>
      </c>
      <c r="CA10" s="73" t="s">
        <v>35</v>
      </c>
      <c r="CB10" s="74" t="s">
        <v>75</v>
      </c>
    </row>
    <row r="11" spans="1:95" ht="15.95" customHeight="1" thickTop="1" x14ac:dyDescent="0.15">
      <c r="A11" s="493" t="str">
        <f>'5チーム2回戦総当たりスケジュール作業表'!$X$6</f>
        <v>T-25</v>
      </c>
      <c r="B11" s="494"/>
      <c r="C11" s="494"/>
      <c r="D11" s="494"/>
      <c r="E11" s="494"/>
      <c r="F11" s="495"/>
      <c r="G11" s="435"/>
      <c r="H11" s="435"/>
      <c r="I11" s="436"/>
      <c r="J11" s="474" t="str">
        <f ca="1">IF($A$9&lt;'5チーム2回戦総当たり結果記入用'!$AM$4,"",IF(J13="","",IF(J13&gt;L13,"○",IF(J13=L13,"△","●"))))</f>
        <v>●</v>
      </c>
      <c r="K11" s="471"/>
      <c r="L11" s="472"/>
      <c r="M11" s="474" t="str">
        <f ca="1">IF($A$9&lt;'5チーム2回戦総当たり結果記入用'!$AM$5,"",IF(M13="","",IF(M13&gt;O13,"○",IF(M13=O13,"△","●"))))</f>
        <v>●</v>
      </c>
      <c r="N11" s="471"/>
      <c r="O11" s="472"/>
      <c r="P11" s="474" t="str">
        <f ca="1">IF($A$9&lt;'5チーム2回戦総当たり結果記入用'!$AM$6,"",IF(P13="","",IF(P13&gt;R13,"○",IF(P13=R13,"△","●"))))</f>
        <v>●</v>
      </c>
      <c r="Q11" s="471"/>
      <c r="R11" s="472"/>
      <c r="S11" s="474" t="str">
        <f ca="1">IF($A$9&lt;'5チーム2回戦総当たり結果記入用'!$AM$7,"",IF(S13="","",IF(S13&gt;U13,"○",IF(S13=U13,"△","●"))))</f>
        <v>●</v>
      </c>
      <c r="T11" s="471"/>
      <c r="U11" s="472"/>
      <c r="V11" s="443">
        <f ca="1">SUM(W11:Y16)</f>
        <v>8</v>
      </c>
      <c r="W11" s="443">
        <f ca="1">COUNTIF($G11:$U16,"○")</f>
        <v>1</v>
      </c>
      <c r="X11" s="443">
        <f ca="1">COUNTIF($G11:$U16,"△")</f>
        <v>0</v>
      </c>
      <c r="Y11" s="443">
        <f ca="1">COUNTIF($G11:$U16,"●")</f>
        <v>7</v>
      </c>
      <c r="Z11" s="443">
        <f ca="1">SUM(G13,J13,M13,P13,S13,G16,J16,M16,P16,S16)</f>
        <v>39</v>
      </c>
      <c r="AA11" s="443">
        <f ca="1">SUM(I13,L13,O13,R13,U13,I16,L16,O16,R16,U16)</f>
        <v>64</v>
      </c>
      <c r="AB11" s="443">
        <f ca="1">Z11-AA11</f>
        <v>-25</v>
      </c>
      <c r="AC11" s="443">
        <f ca="1">W11*3+X11*1</f>
        <v>3</v>
      </c>
      <c r="AD11" s="476">
        <f ca="1">IF($A$9&lt;1,"",RANK(AS11,$AS$11:$AT$40,0))</f>
        <v>5</v>
      </c>
      <c r="AE11" s="478" t="str">
        <f>A11</f>
        <v>T-25</v>
      </c>
      <c r="AF11" s="479"/>
      <c r="AG11" s="479"/>
      <c r="AH11" s="479"/>
      <c r="AI11" s="479"/>
      <c r="AJ11" s="479"/>
      <c r="AK11" s="480"/>
      <c r="AL11" s="514">
        <f>IF($A$9&lt;1,"",CB11)</f>
        <v>5</v>
      </c>
      <c r="AS11" s="460">
        <f ca="1">AC11*100+AB11+Z11/100</f>
        <v>275.39</v>
      </c>
      <c r="AT11" s="460"/>
      <c r="AZ11" s="75" t="s">
        <v>36</v>
      </c>
      <c r="BA11" s="85">
        <f>IF('対戦表 (HP用)'!BA11="","",'対戦表 (HP用)'!BA11)</f>
        <v>1</v>
      </c>
      <c r="BB11" s="85">
        <f>IF('対戦表 (HP用)'!BB11="","",'対戦表 (HP用)'!BB11)</f>
        <v>3</v>
      </c>
      <c r="BC11" s="85">
        <f>IF('対戦表 (HP用)'!BC11="","",'対戦表 (HP用)'!BC11)</f>
        <v>0</v>
      </c>
      <c r="BD11" s="85">
        <f>IF('対戦表 (HP用)'!BD11="","",'対戦表 (HP用)'!BD11)</f>
        <v>1</v>
      </c>
      <c r="BE11" s="85" t="str">
        <f>IF('対戦表 (HP用)'!BE11="","",'対戦表 (HP用)'!BE11)</f>
        <v/>
      </c>
      <c r="BF11" s="85">
        <f>IF('対戦表 (HP用)'!BF11="","",'対戦表 (HP用)'!BF11)</f>
        <v>0</v>
      </c>
      <c r="BG11" s="85">
        <f>IF('対戦表 (HP用)'!BG11="","",'対戦表 (HP用)'!BG11)</f>
        <v>2</v>
      </c>
      <c r="BH11" s="85">
        <f>IF('対戦表 (HP用)'!BH11="","",'対戦表 (HP用)'!BH11)</f>
        <v>1</v>
      </c>
      <c r="BI11" s="85">
        <f>IF('対戦表 (HP用)'!BI11="","",'対戦表 (HP用)'!BI11)</f>
        <v>0</v>
      </c>
      <c r="BJ11" s="85" t="str">
        <f>IF('対戦表 (HP用)'!BJ11="","",'対戦表 (HP用)'!BJ11)</f>
        <v/>
      </c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7">
        <f t="shared" ref="BV11:BV17" si="0">SUM(BA11:BU11)</f>
        <v>8</v>
      </c>
      <c r="BW11" s="77">
        <f>BV11*1</f>
        <v>8</v>
      </c>
      <c r="BX11" s="440">
        <f>SUM(BW11:BW13)</f>
        <v>8</v>
      </c>
      <c r="BY11" s="441"/>
      <c r="BZ11" s="441"/>
      <c r="CA11" s="440">
        <f>SUM(BX11:BZ13)</f>
        <v>8</v>
      </c>
      <c r="CB11" s="442">
        <f>RANK(CA11,$CA$11:$CA$37,1)</f>
        <v>5</v>
      </c>
    </row>
    <row r="12" spans="1:95" ht="15.95" customHeight="1" x14ac:dyDescent="0.15">
      <c r="A12" s="496"/>
      <c r="B12" s="497"/>
      <c r="C12" s="497"/>
      <c r="D12" s="497"/>
      <c r="E12" s="497"/>
      <c r="F12" s="498"/>
      <c r="G12" s="435"/>
      <c r="H12" s="435"/>
      <c r="I12" s="436"/>
      <c r="J12" s="474"/>
      <c r="K12" s="471"/>
      <c r="L12" s="472"/>
      <c r="M12" s="474"/>
      <c r="N12" s="471"/>
      <c r="O12" s="472"/>
      <c r="P12" s="474"/>
      <c r="Q12" s="471"/>
      <c r="R12" s="472"/>
      <c r="S12" s="474"/>
      <c r="T12" s="471"/>
      <c r="U12" s="472"/>
      <c r="V12" s="444"/>
      <c r="W12" s="444"/>
      <c r="X12" s="444"/>
      <c r="Y12" s="444"/>
      <c r="Z12" s="444"/>
      <c r="AA12" s="444"/>
      <c r="AB12" s="444"/>
      <c r="AC12" s="444"/>
      <c r="AD12" s="477"/>
      <c r="AE12" s="481"/>
      <c r="AF12" s="482"/>
      <c r="AG12" s="482"/>
      <c r="AH12" s="482"/>
      <c r="AI12" s="482"/>
      <c r="AJ12" s="482"/>
      <c r="AK12" s="483"/>
      <c r="AL12" s="515"/>
      <c r="AS12" s="460"/>
      <c r="AT12" s="460"/>
      <c r="AZ12" s="75" t="s">
        <v>37</v>
      </c>
      <c r="BA12" s="85" t="str">
        <f>IF('対戦表 (HP用)'!BA12="","",'対戦表 (HP用)'!BA12)</f>
        <v/>
      </c>
      <c r="BB12" s="85" t="str">
        <f>IF('対戦表 (HP用)'!BB12="","",'対戦表 (HP用)'!BB12)</f>
        <v/>
      </c>
      <c r="BC12" s="85" t="str">
        <f>IF('対戦表 (HP用)'!BC12="","",'対戦表 (HP用)'!BC12)</f>
        <v/>
      </c>
      <c r="BD12" s="85" t="str">
        <f>IF('対戦表 (HP用)'!BD12="","",'対戦表 (HP用)'!BD12)</f>
        <v/>
      </c>
      <c r="BE12" s="85" t="str">
        <f>IF('対戦表 (HP用)'!BE12="","",'対戦表 (HP用)'!BE12)</f>
        <v/>
      </c>
      <c r="BF12" s="85" t="str">
        <f>IF('対戦表 (HP用)'!BF12="","",'対戦表 (HP用)'!BF12)</f>
        <v/>
      </c>
      <c r="BG12" s="85" t="str">
        <f>IF('対戦表 (HP用)'!BG12="","",'対戦表 (HP用)'!BG12)</f>
        <v/>
      </c>
      <c r="BH12" s="85" t="str">
        <f>IF('対戦表 (HP用)'!BH12="","",'対戦表 (HP用)'!BH12)</f>
        <v/>
      </c>
      <c r="BI12" s="85" t="str">
        <f>IF('対戦表 (HP用)'!BI12="","",'対戦表 (HP用)'!BI12)</f>
        <v/>
      </c>
      <c r="BJ12" s="85" t="str">
        <f>IF('対戦表 (HP用)'!BJ12="","",'対戦表 (HP用)'!BJ12)</f>
        <v/>
      </c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7">
        <f t="shared" si="0"/>
        <v>0</v>
      </c>
      <c r="BW12" s="77">
        <f>BV12*5</f>
        <v>0</v>
      </c>
      <c r="BX12" s="440"/>
      <c r="BY12" s="441"/>
      <c r="BZ12" s="441"/>
      <c r="CA12" s="440"/>
      <c r="CB12" s="442"/>
    </row>
    <row r="13" spans="1:95" ht="15.95" customHeight="1" x14ac:dyDescent="0.15">
      <c r="A13" s="496"/>
      <c r="B13" s="497"/>
      <c r="C13" s="497"/>
      <c r="D13" s="497"/>
      <c r="E13" s="497"/>
      <c r="F13" s="498"/>
      <c r="G13" s="438"/>
      <c r="H13" s="438"/>
      <c r="I13" s="439"/>
      <c r="J13" s="78">
        <f ca="1">IF($A$9&lt;'5チーム2回戦総当たり結果記入用'!$AM$4,"",'5チーム2回戦総当たり結果記入用'!$AK$4)</f>
        <v>3</v>
      </c>
      <c r="K13" s="79" t="s">
        <v>38</v>
      </c>
      <c r="L13" s="80">
        <f ca="1">IF($A$9&lt;'5チーム2回戦総当たり結果記入用'!$AM$4,"",'5チーム2回戦総当たり結果記入用'!$AL$4)</f>
        <v>4</v>
      </c>
      <c r="M13" s="78">
        <f ca="1">IF($A$9&lt;'5チーム2回戦総当たり結果記入用'!$AM$5,"",'5チーム2回戦総当たり結果記入用'!$AK$5)</f>
        <v>3</v>
      </c>
      <c r="N13" s="79" t="s">
        <v>38</v>
      </c>
      <c r="O13" s="80">
        <f ca="1">IF($A$9&lt;'5チーム2回戦総当たり結果記入用'!$AM$5,"",'5チーム2回戦総当たり結果記入用'!$AL$5)</f>
        <v>9</v>
      </c>
      <c r="P13" s="78">
        <f ca="1">IF($A$9&lt;'5チーム2回戦総当たり結果記入用'!$AM$6,"",'5チーム2回戦総当たり結果記入用'!$AK$6)</f>
        <v>7</v>
      </c>
      <c r="Q13" s="79" t="s">
        <v>38</v>
      </c>
      <c r="R13" s="80">
        <f ca="1">IF($A$9&lt;'5チーム2回戦総当たり結果記入用'!$AM$6,"",'5チーム2回戦総当たり結果記入用'!$AL$6)</f>
        <v>12</v>
      </c>
      <c r="S13" s="78">
        <f ca="1">IF($A$9&lt;'5チーム2回戦総当たり結果記入用'!$AM$7,"",'5チーム2回戦総当たり結果記入用'!$AK$7)</f>
        <v>3</v>
      </c>
      <c r="T13" s="79" t="s">
        <v>38</v>
      </c>
      <c r="U13" s="80">
        <f ca="1">IF($A$9&lt;'5チーム2回戦総当たり結果記入用'!$AM$7,"",'5チーム2回戦総当たり結果記入用'!$AL$7)</f>
        <v>11</v>
      </c>
      <c r="V13" s="444"/>
      <c r="W13" s="444"/>
      <c r="X13" s="444"/>
      <c r="Y13" s="444"/>
      <c r="Z13" s="444"/>
      <c r="AA13" s="444"/>
      <c r="AB13" s="444"/>
      <c r="AC13" s="444"/>
      <c r="AD13" s="477"/>
      <c r="AE13" s="481"/>
      <c r="AF13" s="482"/>
      <c r="AG13" s="482"/>
      <c r="AH13" s="482"/>
      <c r="AI13" s="482"/>
      <c r="AJ13" s="482"/>
      <c r="AK13" s="483"/>
      <c r="AL13" s="515"/>
      <c r="AS13" s="460"/>
      <c r="AT13" s="460"/>
      <c r="AZ13" s="75" t="s">
        <v>39</v>
      </c>
      <c r="BA13" s="85" t="str">
        <f>IF('対戦表 (HP用)'!BA13="","",'対戦表 (HP用)'!BA13)</f>
        <v/>
      </c>
      <c r="BB13" s="85" t="str">
        <f>IF('対戦表 (HP用)'!BB13="","",'対戦表 (HP用)'!BB13)</f>
        <v/>
      </c>
      <c r="BC13" s="85" t="str">
        <f>IF('対戦表 (HP用)'!BC13="","",'対戦表 (HP用)'!BC13)</f>
        <v/>
      </c>
      <c r="BD13" s="85" t="str">
        <f>IF('対戦表 (HP用)'!BD13="","",'対戦表 (HP用)'!BD13)</f>
        <v/>
      </c>
      <c r="BE13" s="85" t="str">
        <f>IF('対戦表 (HP用)'!BE13="","",'対戦表 (HP用)'!BE13)</f>
        <v/>
      </c>
      <c r="BF13" s="85" t="str">
        <f>IF('対戦表 (HP用)'!BF13="","",'対戦表 (HP用)'!BF13)</f>
        <v/>
      </c>
      <c r="BG13" s="85" t="str">
        <f>IF('対戦表 (HP用)'!BG13="","",'対戦表 (HP用)'!BG13)</f>
        <v/>
      </c>
      <c r="BH13" s="85" t="str">
        <f>IF('対戦表 (HP用)'!BH13="","",'対戦表 (HP用)'!BH13)</f>
        <v/>
      </c>
      <c r="BI13" s="85" t="str">
        <f>IF('対戦表 (HP用)'!BI13="","",'対戦表 (HP用)'!BI13)</f>
        <v/>
      </c>
      <c r="BJ13" s="85" t="str">
        <f>IF('対戦表 (HP用)'!BJ13="","",'対戦表 (HP用)'!BJ13)</f>
        <v/>
      </c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>
        <f t="shared" si="0"/>
        <v>0</v>
      </c>
      <c r="BW13" s="77">
        <f>BV13*10</f>
        <v>0</v>
      </c>
      <c r="BX13" s="440"/>
      <c r="BY13" s="441"/>
      <c r="BZ13" s="441"/>
      <c r="CA13" s="440"/>
      <c r="CB13" s="442"/>
    </row>
    <row r="14" spans="1:95" ht="15.95" customHeight="1" x14ac:dyDescent="0.15">
      <c r="A14" s="496"/>
      <c r="B14" s="497"/>
      <c r="C14" s="497"/>
      <c r="D14" s="497"/>
      <c r="E14" s="497"/>
      <c r="F14" s="498"/>
      <c r="G14" s="435"/>
      <c r="H14" s="435"/>
      <c r="I14" s="436"/>
      <c r="J14" s="474" t="str">
        <f ca="1">IF($A$9&lt;'5チーム2回戦総当たり結果記入用'!$AM$124,"",IF(J16="","",IF(J16&gt;L16,"○",IF(J16=L16,"△","●"))))</f>
        <v>●</v>
      </c>
      <c r="K14" s="471"/>
      <c r="L14" s="472"/>
      <c r="M14" s="474" t="str">
        <f ca="1">IF($A$9&lt;'5チーム2回戦総当たり結果記入用'!$AM$125,"",IF(M16="","",IF(M16&gt;O16,"○",IF(M16=O16,"△","●"))))</f>
        <v>●</v>
      </c>
      <c r="N14" s="471"/>
      <c r="O14" s="472"/>
      <c r="P14" s="474" t="str">
        <f ca="1">IF($A$9&lt;'5チーム2回戦総当たり結果記入用'!$AM$126,"",IF(P16="","",IF(P16&gt;R16,"○",IF(P16=R16,"△","●"))))</f>
        <v>○</v>
      </c>
      <c r="Q14" s="471"/>
      <c r="R14" s="472"/>
      <c r="S14" s="474" t="str">
        <f ca="1">IF($A$9&lt;'5チーム2回戦総当たり結果記入用'!$AM$127,"",IF(S16="","",IF(S16&gt;U16,"○",IF(S16=U16,"△","●"))))</f>
        <v>●</v>
      </c>
      <c r="T14" s="471"/>
      <c r="U14" s="472"/>
      <c r="V14" s="444"/>
      <c r="W14" s="444"/>
      <c r="X14" s="444"/>
      <c r="Y14" s="444"/>
      <c r="Z14" s="444"/>
      <c r="AA14" s="444"/>
      <c r="AB14" s="444"/>
      <c r="AC14" s="444"/>
      <c r="AD14" s="477"/>
      <c r="AE14" s="481"/>
      <c r="AF14" s="482"/>
      <c r="AG14" s="482"/>
      <c r="AH14" s="482"/>
      <c r="AI14" s="482"/>
      <c r="AJ14" s="482"/>
      <c r="AK14" s="483"/>
      <c r="AL14" s="515"/>
      <c r="AS14" s="460"/>
      <c r="AT14" s="460"/>
      <c r="AZ14" s="81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3"/>
      <c r="BX14" s="413"/>
      <c r="BY14" s="448"/>
      <c r="BZ14" s="448"/>
      <c r="CA14" s="413"/>
      <c r="CB14" s="416"/>
    </row>
    <row r="15" spans="1:95" ht="15.95" customHeight="1" x14ac:dyDescent="0.15">
      <c r="A15" s="496"/>
      <c r="B15" s="497"/>
      <c r="C15" s="497"/>
      <c r="D15" s="497"/>
      <c r="E15" s="497"/>
      <c r="F15" s="498"/>
      <c r="G15" s="435"/>
      <c r="H15" s="435"/>
      <c r="I15" s="436"/>
      <c r="J15" s="474"/>
      <c r="K15" s="471"/>
      <c r="L15" s="472"/>
      <c r="M15" s="474"/>
      <c r="N15" s="471"/>
      <c r="O15" s="472"/>
      <c r="P15" s="474"/>
      <c r="Q15" s="471"/>
      <c r="R15" s="472"/>
      <c r="S15" s="474"/>
      <c r="T15" s="471"/>
      <c r="U15" s="472"/>
      <c r="V15" s="444"/>
      <c r="W15" s="444"/>
      <c r="X15" s="444"/>
      <c r="Y15" s="444"/>
      <c r="Z15" s="444"/>
      <c r="AA15" s="444"/>
      <c r="AB15" s="444"/>
      <c r="AC15" s="444"/>
      <c r="AD15" s="477"/>
      <c r="AE15" s="481"/>
      <c r="AF15" s="482"/>
      <c r="AG15" s="482"/>
      <c r="AH15" s="482"/>
      <c r="AI15" s="482"/>
      <c r="AJ15" s="482"/>
      <c r="AK15" s="483"/>
      <c r="AL15" s="515"/>
      <c r="AS15" s="460"/>
      <c r="AT15" s="460"/>
      <c r="AZ15" s="84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85"/>
      <c r="BW15" s="85"/>
      <c r="BX15" s="414"/>
      <c r="BY15" s="441"/>
      <c r="BZ15" s="441"/>
      <c r="CA15" s="414"/>
      <c r="CB15" s="417"/>
    </row>
    <row r="16" spans="1:95" ht="15.95" customHeight="1" x14ac:dyDescent="0.15">
      <c r="A16" s="499"/>
      <c r="B16" s="500"/>
      <c r="C16" s="500"/>
      <c r="D16" s="500"/>
      <c r="E16" s="500"/>
      <c r="F16" s="501"/>
      <c r="G16" s="438"/>
      <c r="H16" s="438"/>
      <c r="I16" s="439"/>
      <c r="J16" s="78">
        <f ca="1">IF($A$9&lt;'5チーム2回戦総当たり結果記入用'!$AM$124,"",'5チーム2回戦総当たり結果記入用'!$AL$124)</f>
        <v>4</v>
      </c>
      <c r="K16" s="79" t="s">
        <v>38</v>
      </c>
      <c r="L16" s="80">
        <f ca="1">IF($A$9&lt;'5チーム2回戦総当たり結果記入用'!$AM$124,"",'5チーム2回戦総当たり結果記入用'!$AK$124)</f>
        <v>7</v>
      </c>
      <c r="M16" s="78">
        <f ca="1">IF($A$9&lt;'5チーム2回戦総当たり結果記入用'!$AM$125,"",'5チーム2回戦総当たり結果記入用'!$AL$125)</f>
        <v>1</v>
      </c>
      <c r="N16" s="79" t="s">
        <v>38</v>
      </c>
      <c r="O16" s="80">
        <f ca="1">IF($A$9&lt;'5チーム2回戦総当たり結果記入用'!$AM$125,"",'5チーム2回戦総当たり結果記入用'!$AK$125)</f>
        <v>5</v>
      </c>
      <c r="P16" s="78">
        <f ca="1">IF($A$9&lt;'5チーム2回戦総当たり結果記入用'!$AM$126,"",'5チーム2回戦総当たり結果記入用'!$AL$126)</f>
        <v>9</v>
      </c>
      <c r="Q16" s="79" t="s">
        <v>38</v>
      </c>
      <c r="R16" s="80">
        <f ca="1">IF($A$9&lt;'5チーム2回戦総当たり結果記入用'!$AM$126,"",'5チーム2回戦総当たり結果記入用'!$AK$126)</f>
        <v>5</v>
      </c>
      <c r="S16" s="78">
        <f ca="1">IF($A$9&lt;'5チーム2回戦総当たり結果記入用'!$AM$127,"",'5チーム2回戦総当たり結果記入用'!$AL$127)</f>
        <v>9</v>
      </c>
      <c r="T16" s="79" t="s">
        <v>38</v>
      </c>
      <c r="U16" s="80">
        <f ca="1">IF($A$9&lt;'5チーム2回戦総当たり結果記入用'!$AM$127,"",'5チーム2回戦総当たり結果記入用'!$AK$127)</f>
        <v>11</v>
      </c>
      <c r="V16" s="444"/>
      <c r="W16" s="444"/>
      <c r="X16" s="444"/>
      <c r="Y16" s="444"/>
      <c r="Z16" s="444"/>
      <c r="AA16" s="444"/>
      <c r="AB16" s="444"/>
      <c r="AC16" s="444"/>
      <c r="AD16" s="477"/>
      <c r="AE16" s="481"/>
      <c r="AF16" s="482"/>
      <c r="AG16" s="482"/>
      <c r="AH16" s="482"/>
      <c r="AI16" s="482"/>
      <c r="AJ16" s="482"/>
      <c r="AK16" s="483"/>
      <c r="AL16" s="515"/>
      <c r="AS16" s="460"/>
      <c r="AT16" s="460"/>
      <c r="AZ16" s="86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8"/>
      <c r="BW16" s="88"/>
      <c r="BX16" s="415"/>
      <c r="BY16" s="449"/>
      <c r="BZ16" s="449"/>
      <c r="CA16" s="415"/>
      <c r="CB16" s="418"/>
    </row>
    <row r="17" spans="1:80" ht="15.95" customHeight="1" x14ac:dyDescent="0.15">
      <c r="A17" s="493" t="str">
        <f>'5チーム2回戦総当たりスケジュール作業表'!$X$7</f>
        <v>Etelia</v>
      </c>
      <c r="B17" s="494"/>
      <c r="C17" s="494"/>
      <c r="D17" s="494"/>
      <c r="E17" s="494"/>
      <c r="F17" s="495"/>
      <c r="G17" s="467" t="str">
        <f ca="1">IF($A$9&lt;'5チーム2回戦総当たり結果記入用'!$AM$4,"",IF(G19="","",IF(G19&gt;I19,"○",IF(G19=I19,"△","●"))))</f>
        <v>○</v>
      </c>
      <c r="H17" s="468"/>
      <c r="I17" s="469"/>
      <c r="J17" s="431"/>
      <c r="K17" s="432"/>
      <c r="L17" s="433"/>
      <c r="M17" s="473" t="str">
        <f ca="1">IF($A$9&lt;'5チーム2回戦総当たり結果記入用'!$AM$19,"",IF(M19="","",IF(M19&gt;O19,"○",IF(M19=O19,"△","●"))))</f>
        <v>○</v>
      </c>
      <c r="N17" s="468"/>
      <c r="O17" s="469"/>
      <c r="P17" s="473" t="str">
        <f ca="1">IF($A$9&lt;'5チーム2回戦総当たり結果記入用'!$AM$20,"",IF(P19="","",IF(P19&gt;R19,"○",IF(P19=R19,"△","●"))))</f>
        <v>○</v>
      </c>
      <c r="Q17" s="468"/>
      <c r="R17" s="469"/>
      <c r="S17" s="473" t="str">
        <f ca="1">IF($A$9&lt;'5チーム2回戦総当たり結果記入用'!$AM$21,"",IF(S19="","",IF(S19&gt;U19,"○",IF(S19=U19,"△","●"))))</f>
        <v>●</v>
      </c>
      <c r="T17" s="468"/>
      <c r="U17" s="469"/>
      <c r="V17" s="445">
        <f ca="1">SUM(W17:Y22)</f>
        <v>7</v>
      </c>
      <c r="W17" s="445">
        <f ca="1">COUNTIF($G17:$U22,"○")</f>
        <v>6</v>
      </c>
      <c r="X17" s="445">
        <f ca="1">COUNTIF($G17:$U22,"△")</f>
        <v>0</v>
      </c>
      <c r="Y17" s="445">
        <f ca="1">COUNTIF($G17:$U22,"●")</f>
        <v>1</v>
      </c>
      <c r="Z17" s="445">
        <f t="shared" ref="Z17" ca="1" si="1">SUM(G19,J19,M19,P19,S19,G22,J22,M22,P22,S22)</f>
        <v>45</v>
      </c>
      <c r="AA17" s="445">
        <f t="shared" ref="AA17" ca="1" si="2">SUM(I19,L19,O19,R19,U19,I22,L22,O22,R22,U22)</f>
        <v>25</v>
      </c>
      <c r="AB17" s="445">
        <f ca="1">Z17-AA17</f>
        <v>20</v>
      </c>
      <c r="AC17" s="445">
        <f ca="1">W17*3+X17*1</f>
        <v>18</v>
      </c>
      <c r="AD17" s="475">
        <f t="shared" ref="AD17" ca="1" si="3">IF($A$9&lt;1,"",RANK(AS17,$AS$11:$AT$40,0))</f>
        <v>1</v>
      </c>
      <c r="AE17" s="512" t="str">
        <f>A17</f>
        <v>Etelia</v>
      </c>
      <c r="AF17" s="512"/>
      <c r="AG17" s="512"/>
      <c r="AH17" s="512"/>
      <c r="AI17" s="512"/>
      <c r="AJ17" s="512"/>
      <c r="AK17" s="512"/>
      <c r="AL17" s="484">
        <f t="shared" ref="AL17" si="4">IF($A$9&lt;1,"",CB17)</f>
        <v>4</v>
      </c>
      <c r="AS17" s="460">
        <f ca="1">AC17*100+AB17+Z17/100</f>
        <v>1820.45</v>
      </c>
      <c r="AT17" s="460"/>
      <c r="AZ17" s="89" t="s">
        <v>36</v>
      </c>
      <c r="BA17" s="83">
        <f>IF('対戦表 (HP用)'!BA17="","",'対戦表 (HP用)'!BA17)</f>
        <v>1</v>
      </c>
      <c r="BB17" s="83">
        <f>IF('対戦表 (HP用)'!BB17="","",'対戦表 (HP用)'!BB17)</f>
        <v>2</v>
      </c>
      <c r="BC17" s="83" t="str">
        <f>IF('対戦表 (HP用)'!BC17="","",'対戦表 (HP用)'!BC17)</f>
        <v/>
      </c>
      <c r="BD17" s="83">
        <f>IF('対戦表 (HP用)'!BD17="","",'対戦表 (HP用)'!BD17)</f>
        <v>0</v>
      </c>
      <c r="BE17" s="83">
        <f>IF('対戦表 (HP用)'!BE17="","",'対戦表 (HP用)'!BE17)</f>
        <v>0</v>
      </c>
      <c r="BF17" s="83">
        <f>IF('対戦表 (HP用)'!BF17="","",'対戦表 (HP用)'!BF17)</f>
        <v>1</v>
      </c>
      <c r="BG17" s="83" t="str">
        <f>IF('対戦表 (HP用)'!BG17="","",'対戦表 (HP用)'!BG17)</f>
        <v/>
      </c>
      <c r="BH17" s="83">
        <f>IF('対戦表 (HP用)'!BH17="","",'対戦表 (HP用)'!BH17)</f>
        <v>2</v>
      </c>
      <c r="BI17" s="83">
        <f>IF('対戦表 (HP用)'!BI17="","",'対戦表 (HP用)'!BI17)</f>
        <v>1</v>
      </c>
      <c r="BJ17" s="83" t="str">
        <f>IF('対戦表 (HP用)'!BJ17="","",'対戦表 (HP用)'!BJ17)</f>
        <v/>
      </c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90">
        <f t="shared" si="0"/>
        <v>7</v>
      </c>
      <c r="BW17" s="90">
        <f>BV17*1</f>
        <v>7</v>
      </c>
      <c r="BX17" s="446">
        <f>SUM(BW17:BW19)</f>
        <v>7</v>
      </c>
      <c r="BY17" s="448"/>
      <c r="BZ17" s="448"/>
      <c r="CA17" s="446">
        <f>SUM(BX17:BZ19)</f>
        <v>7</v>
      </c>
      <c r="CB17" s="461">
        <f>RANK(CA17,$CA$11:$CA$37,1)</f>
        <v>4</v>
      </c>
    </row>
    <row r="18" spans="1:80" ht="15.95" customHeight="1" x14ac:dyDescent="0.15">
      <c r="A18" s="496"/>
      <c r="B18" s="497"/>
      <c r="C18" s="497"/>
      <c r="D18" s="497"/>
      <c r="E18" s="497"/>
      <c r="F18" s="498"/>
      <c r="G18" s="470"/>
      <c r="H18" s="471"/>
      <c r="I18" s="472"/>
      <c r="J18" s="434"/>
      <c r="K18" s="435"/>
      <c r="L18" s="436"/>
      <c r="M18" s="474"/>
      <c r="N18" s="471"/>
      <c r="O18" s="472"/>
      <c r="P18" s="474"/>
      <c r="Q18" s="471"/>
      <c r="R18" s="472"/>
      <c r="S18" s="474"/>
      <c r="T18" s="471"/>
      <c r="U18" s="472"/>
      <c r="V18" s="445"/>
      <c r="W18" s="445"/>
      <c r="X18" s="445"/>
      <c r="Y18" s="445"/>
      <c r="Z18" s="445"/>
      <c r="AA18" s="445"/>
      <c r="AB18" s="445"/>
      <c r="AC18" s="445"/>
      <c r="AD18" s="475"/>
      <c r="AE18" s="512"/>
      <c r="AF18" s="512"/>
      <c r="AG18" s="512"/>
      <c r="AH18" s="512"/>
      <c r="AI18" s="512"/>
      <c r="AJ18" s="512"/>
      <c r="AK18" s="512"/>
      <c r="AL18" s="484"/>
      <c r="AS18" s="460"/>
      <c r="AT18" s="460"/>
      <c r="AZ18" s="75" t="s">
        <v>37</v>
      </c>
      <c r="BA18" s="85" t="str">
        <f>IF('対戦表 (HP用)'!BA18="","",'対戦表 (HP用)'!BA18)</f>
        <v/>
      </c>
      <c r="BB18" s="85" t="str">
        <f>IF('対戦表 (HP用)'!BB18="","",'対戦表 (HP用)'!BB18)</f>
        <v/>
      </c>
      <c r="BC18" s="85" t="str">
        <f>IF('対戦表 (HP用)'!BC18="","",'対戦表 (HP用)'!BC18)</f>
        <v/>
      </c>
      <c r="BD18" s="85" t="str">
        <f>IF('対戦表 (HP用)'!BD18="","",'対戦表 (HP用)'!BD18)</f>
        <v/>
      </c>
      <c r="BE18" s="85" t="str">
        <f>IF('対戦表 (HP用)'!BE18="","",'対戦表 (HP用)'!BE18)</f>
        <v/>
      </c>
      <c r="BF18" s="85" t="str">
        <f>IF('対戦表 (HP用)'!BF18="","",'対戦表 (HP用)'!BF18)</f>
        <v/>
      </c>
      <c r="BG18" s="85" t="str">
        <f>IF('対戦表 (HP用)'!BG18="","",'対戦表 (HP用)'!BG18)</f>
        <v/>
      </c>
      <c r="BH18" s="85" t="str">
        <f>IF('対戦表 (HP用)'!BH18="","",'対戦表 (HP用)'!BH18)</f>
        <v/>
      </c>
      <c r="BI18" s="85" t="str">
        <f>IF('対戦表 (HP用)'!BI18="","",'対戦表 (HP用)'!BI18)</f>
        <v/>
      </c>
      <c r="BJ18" s="85" t="str">
        <f>IF('対戦表 (HP用)'!BJ18="","",'対戦表 (HP用)'!BJ18)</f>
        <v/>
      </c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7">
        <f t="shared" ref="BV18:BV37" si="5">SUM(BA18:BU18)</f>
        <v>0</v>
      </c>
      <c r="BW18" s="77">
        <f>BV18*5</f>
        <v>0</v>
      </c>
      <c r="BX18" s="440"/>
      <c r="BY18" s="441"/>
      <c r="BZ18" s="441"/>
      <c r="CA18" s="440"/>
      <c r="CB18" s="442"/>
    </row>
    <row r="19" spans="1:80" ht="15.95" customHeight="1" x14ac:dyDescent="0.15">
      <c r="A19" s="496"/>
      <c r="B19" s="497"/>
      <c r="C19" s="497"/>
      <c r="D19" s="497"/>
      <c r="E19" s="497"/>
      <c r="F19" s="498"/>
      <c r="G19" s="79">
        <f ca="1">$L$13</f>
        <v>4</v>
      </c>
      <c r="H19" s="79" t="s">
        <v>38</v>
      </c>
      <c r="I19" s="80">
        <f ca="1">$J$13</f>
        <v>3</v>
      </c>
      <c r="J19" s="437"/>
      <c r="K19" s="438"/>
      <c r="L19" s="439"/>
      <c r="M19" s="78">
        <f ca="1">IF($A$9&lt;'5チーム2回戦総当たり結果記入用'!$AM$19,"",'5チーム2回戦総当たり結果記入用'!$AK$19)</f>
        <v>12</v>
      </c>
      <c r="N19" s="79" t="s">
        <v>38</v>
      </c>
      <c r="O19" s="80">
        <f ca="1">IF($A$9&lt;'5チーム2回戦総当たり結果記入用'!$AM$19,"",'5チーム2回戦総当たり結果記入用'!$AL$19)</f>
        <v>4</v>
      </c>
      <c r="P19" s="78">
        <f ca="1">IF($A$9&lt;'5チーム2回戦総当たり結果記入用'!$AM$20,"",'5チーム2回戦総当たり結果記入用'!$AK$20)</f>
        <v>6</v>
      </c>
      <c r="Q19" s="79" t="s">
        <v>67</v>
      </c>
      <c r="R19" s="80">
        <f ca="1">IF($A$9&lt;'5チーム2回戦総当たり結果記入用'!$AM$20,"",'5チーム2回戦総当たり結果記入用'!$AL$20)</f>
        <v>3</v>
      </c>
      <c r="S19" s="78">
        <f ca="1">IF($A$9&lt;'5チーム2回戦総当たり結果記入用'!$AM$21,"",'5チーム2回戦総当たり結果記入用'!$AK$21)</f>
        <v>2</v>
      </c>
      <c r="T19" s="79" t="s">
        <v>67</v>
      </c>
      <c r="U19" s="80">
        <f ca="1">IF($A$9&lt;'5チーム2回戦総当たり結果記入用'!$AM$21,"",'5チーム2回戦総当たり結果記入用'!$AL$21)</f>
        <v>3</v>
      </c>
      <c r="V19" s="445"/>
      <c r="W19" s="445"/>
      <c r="X19" s="445"/>
      <c r="Y19" s="445"/>
      <c r="Z19" s="445"/>
      <c r="AA19" s="445"/>
      <c r="AB19" s="445"/>
      <c r="AC19" s="445"/>
      <c r="AD19" s="475"/>
      <c r="AE19" s="512"/>
      <c r="AF19" s="512"/>
      <c r="AG19" s="512"/>
      <c r="AH19" s="512"/>
      <c r="AI19" s="512"/>
      <c r="AJ19" s="512"/>
      <c r="AK19" s="512"/>
      <c r="AL19" s="484"/>
      <c r="AS19" s="460"/>
      <c r="AT19" s="460"/>
      <c r="AZ19" s="91" t="s">
        <v>39</v>
      </c>
      <c r="BA19" s="88" t="str">
        <f>IF('対戦表 (HP用)'!BA19="","",'対戦表 (HP用)'!BA19)</f>
        <v/>
      </c>
      <c r="BB19" s="88" t="str">
        <f>IF('対戦表 (HP用)'!BB19="","",'対戦表 (HP用)'!BB19)</f>
        <v/>
      </c>
      <c r="BC19" s="88" t="str">
        <f>IF('対戦表 (HP用)'!BC19="","",'対戦表 (HP用)'!BC19)</f>
        <v/>
      </c>
      <c r="BD19" s="88" t="str">
        <f>IF('対戦表 (HP用)'!BD19="","",'対戦表 (HP用)'!BD19)</f>
        <v/>
      </c>
      <c r="BE19" s="88" t="str">
        <f>IF('対戦表 (HP用)'!BE19="","",'対戦表 (HP用)'!BE19)</f>
        <v/>
      </c>
      <c r="BF19" s="88" t="str">
        <f>IF('対戦表 (HP用)'!BF19="","",'対戦表 (HP用)'!BF19)</f>
        <v/>
      </c>
      <c r="BG19" s="88" t="str">
        <f>IF('対戦表 (HP用)'!BG19="","",'対戦表 (HP用)'!BG19)</f>
        <v/>
      </c>
      <c r="BH19" s="88" t="str">
        <f>IF('対戦表 (HP用)'!BH19="","",'対戦表 (HP用)'!BH19)</f>
        <v/>
      </c>
      <c r="BI19" s="88" t="str">
        <f>IF('対戦表 (HP用)'!BI19="","",'対戦表 (HP用)'!BI19)</f>
        <v/>
      </c>
      <c r="BJ19" s="88" t="str">
        <f>IF('対戦表 (HP用)'!BJ19="","",'対戦表 (HP用)'!BJ19)</f>
        <v/>
      </c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92">
        <f t="shared" si="5"/>
        <v>0</v>
      </c>
      <c r="BW19" s="92">
        <f>BV19*10</f>
        <v>0</v>
      </c>
      <c r="BX19" s="447"/>
      <c r="BY19" s="449"/>
      <c r="BZ19" s="449"/>
      <c r="CA19" s="447"/>
      <c r="CB19" s="462"/>
    </row>
    <row r="20" spans="1:80" ht="15.95" customHeight="1" x14ac:dyDescent="0.15">
      <c r="A20" s="496"/>
      <c r="B20" s="497"/>
      <c r="C20" s="497"/>
      <c r="D20" s="497"/>
      <c r="E20" s="497"/>
      <c r="F20" s="498"/>
      <c r="G20" s="467" t="str">
        <f ca="1">IF($A$9&lt;'5チーム2回戦総当たり結果記入用'!$AM$124,"",IF(G22="","",IF(G22&gt;I22,"○",IF(G22=I22,"△","●"))))</f>
        <v>○</v>
      </c>
      <c r="H20" s="468"/>
      <c r="I20" s="469"/>
      <c r="J20" s="431"/>
      <c r="K20" s="432"/>
      <c r="L20" s="433"/>
      <c r="M20" s="473" t="str">
        <f ca="1">IF($A$9&lt;'5チーム2回戦総当たり結果記入用'!$AM$139,"",IF(M22="","",IF(M22&gt;O22,"○",IF(M22=O22,"△","●"))))</f>
        <v>○</v>
      </c>
      <c r="N20" s="468"/>
      <c r="O20" s="469"/>
      <c r="P20" s="473" t="str">
        <f ca="1">IF($A$9&lt;'5チーム2回戦総当たり結果記入用'!$AM$140,"",IF(P22="","",IF(P22&gt;R22,"○",IF(P22=R22,"△","●"))))</f>
        <v/>
      </c>
      <c r="Q20" s="468"/>
      <c r="R20" s="469"/>
      <c r="S20" s="473" t="str">
        <f ca="1">IF($A$9&lt;'5チーム2回戦総当たり結果記入用'!$AM$141,"",IF(S22="","",IF(S22&gt;U22,"○",IF(S22=U22,"△","●"))))</f>
        <v>○</v>
      </c>
      <c r="T20" s="468"/>
      <c r="U20" s="469"/>
      <c r="V20" s="445"/>
      <c r="W20" s="445"/>
      <c r="X20" s="445"/>
      <c r="Y20" s="445"/>
      <c r="Z20" s="445"/>
      <c r="AA20" s="445"/>
      <c r="AB20" s="445"/>
      <c r="AC20" s="445"/>
      <c r="AD20" s="475"/>
      <c r="AE20" s="512">
        <f>A20</f>
        <v>0</v>
      </c>
      <c r="AF20" s="512"/>
      <c r="AG20" s="512"/>
      <c r="AH20" s="512"/>
      <c r="AI20" s="512"/>
      <c r="AJ20" s="512"/>
      <c r="AK20" s="512"/>
      <c r="AL20" s="484"/>
      <c r="AS20" s="460"/>
      <c r="AT20" s="460"/>
      <c r="AZ20" s="81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3"/>
      <c r="BW20" s="83"/>
      <c r="BX20" s="413"/>
      <c r="BY20" s="448"/>
      <c r="BZ20" s="448"/>
      <c r="CA20" s="413"/>
      <c r="CB20" s="416"/>
    </row>
    <row r="21" spans="1:80" ht="15.95" customHeight="1" x14ac:dyDescent="0.15">
      <c r="A21" s="496"/>
      <c r="B21" s="497"/>
      <c r="C21" s="497"/>
      <c r="D21" s="497"/>
      <c r="E21" s="497"/>
      <c r="F21" s="498"/>
      <c r="G21" s="470"/>
      <c r="H21" s="471"/>
      <c r="I21" s="472"/>
      <c r="J21" s="434"/>
      <c r="K21" s="435"/>
      <c r="L21" s="436"/>
      <c r="M21" s="474"/>
      <c r="N21" s="471"/>
      <c r="O21" s="472"/>
      <c r="P21" s="474"/>
      <c r="Q21" s="471"/>
      <c r="R21" s="472"/>
      <c r="S21" s="474"/>
      <c r="T21" s="471"/>
      <c r="U21" s="472"/>
      <c r="V21" s="445"/>
      <c r="W21" s="445"/>
      <c r="X21" s="445"/>
      <c r="Y21" s="445"/>
      <c r="Z21" s="445"/>
      <c r="AA21" s="445"/>
      <c r="AB21" s="445"/>
      <c r="AC21" s="445"/>
      <c r="AD21" s="475"/>
      <c r="AE21" s="512"/>
      <c r="AF21" s="512"/>
      <c r="AG21" s="512"/>
      <c r="AH21" s="512"/>
      <c r="AI21" s="512"/>
      <c r="AJ21" s="512"/>
      <c r="AK21" s="512"/>
      <c r="AL21" s="484"/>
      <c r="AS21" s="460"/>
      <c r="AT21" s="460"/>
      <c r="AZ21" s="84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85"/>
      <c r="BW21" s="85"/>
      <c r="BX21" s="414"/>
      <c r="BY21" s="441"/>
      <c r="BZ21" s="441"/>
      <c r="CA21" s="414"/>
      <c r="CB21" s="417"/>
    </row>
    <row r="22" spans="1:80" ht="15.95" customHeight="1" x14ac:dyDescent="0.15">
      <c r="A22" s="499"/>
      <c r="B22" s="500"/>
      <c r="C22" s="500"/>
      <c r="D22" s="500"/>
      <c r="E22" s="500"/>
      <c r="F22" s="501"/>
      <c r="G22" s="79">
        <f ca="1">$L$16</f>
        <v>7</v>
      </c>
      <c r="H22" s="79" t="s">
        <v>38</v>
      </c>
      <c r="I22" s="80">
        <f ca="1">$J$16</f>
        <v>4</v>
      </c>
      <c r="J22" s="437"/>
      <c r="K22" s="438"/>
      <c r="L22" s="439"/>
      <c r="M22" s="78">
        <f ca="1">IF($A$9&lt;'5チーム2回戦総当たり結果記入用'!$AM$139,"",'5チーム2回戦総当たり結果記入用'!$AL$139)</f>
        <v>8</v>
      </c>
      <c r="N22" s="79" t="s">
        <v>38</v>
      </c>
      <c r="O22" s="80">
        <f ca="1">IF($A$9&lt;'5チーム2回戦総当たり結果記入用'!$AM$139,"",'5チーム2回戦総当たり結果記入用'!$AK$139)</f>
        <v>4</v>
      </c>
      <c r="P22" s="78" t="str">
        <f ca="1">IF($A$9&lt;'5チーム2回戦総当たり結果記入用'!$AM$140,"",'5チーム2回戦総当たり結果記入用'!$AL$140)</f>
        <v/>
      </c>
      <c r="Q22" s="79" t="s">
        <v>67</v>
      </c>
      <c r="R22" s="80" t="str">
        <f ca="1">IF($A$9&lt;'5チーム2回戦総当たり結果記入用'!$AM$140,"",'5チーム2回戦総当たり結果記入用'!$AK$140)</f>
        <v/>
      </c>
      <c r="S22" s="78">
        <f ca="1">IF($A$9&lt;'5チーム2回戦総当たり結果記入用'!$AM$141,"",'5チーム2回戦総当たり結果記入用'!$AL$141)</f>
        <v>6</v>
      </c>
      <c r="T22" s="79" t="s">
        <v>67</v>
      </c>
      <c r="U22" s="80">
        <f ca="1">IF($A$9&lt;'5チーム2回戦総当たり結果記入用'!$AM$141,"",'5チーム2回戦総当たり結果記入用'!$AK$141)</f>
        <v>4</v>
      </c>
      <c r="V22" s="445"/>
      <c r="W22" s="445"/>
      <c r="X22" s="445"/>
      <c r="Y22" s="445"/>
      <c r="Z22" s="445"/>
      <c r="AA22" s="445"/>
      <c r="AB22" s="445"/>
      <c r="AC22" s="445"/>
      <c r="AD22" s="475"/>
      <c r="AE22" s="512"/>
      <c r="AF22" s="512"/>
      <c r="AG22" s="512"/>
      <c r="AH22" s="512"/>
      <c r="AI22" s="512"/>
      <c r="AJ22" s="512"/>
      <c r="AK22" s="512"/>
      <c r="AL22" s="484"/>
      <c r="AS22" s="460"/>
      <c r="AT22" s="460"/>
      <c r="AZ22" s="86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8"/>
      <c r="BW22" s="88"/>
      <c r="BX22" s="415"/>
      <c r="BY22" s="449"/>
      <c r="BZ22" s="449"/>
      <c r="CA22" s="415"/>
      <c r="CB22" s="418"/>
    </row>
    <row r="23" spans="1:80" ht="15.95" customHeight="1" x14ac:dyDescent="0.15">
      <c r="A23" s="493" t="str">
        <f>'5チーム2回戦総当たりスケジュール作業表'!$X$8</f>
        <v>うなぎ</v>
      </c>
      <c r="B23" s="494"/>
      <c r="C23" s="494"/>
      <c r="D23" s="494"/>
      <c r="E23" s="494"/>
      <c r="F23" s="495"/>
      <c r="G23" s="474" t="str">
        <f ca="1">IF($A$9&lt;'5チーム2回戦総当たり結果記入用'!$AM$5,"",IF(G25="","",IF(G25&gt;I25,"○",IF(G25=I25,"△","●"))))</f>
        <v>○</v>
      </c>
      <c r="H23" s="471"/>
      <c r="I23" s="472"/>
      <c r="J23" s="473" t="str">
        <f ca="1">IF($A$9&lt;'5チーム2回戦総当たり結果記入用'!$AM$19,"",IF(J25="","",IF(J25&gt;L25,"○",IF(J25=L25,"△","●"))))</f>
        <v>●</v>
      </c>
      <c r="K23" s="468"/>
      <c r="L23" s="469"/>
      <c r="M23" s="431"/>
      <c r="N23" s="432"/>
      <c r="O23" s="433"/>
      <c r="P23" s="473" t="str">
        <f ca="1">IF($A$9&lt;'5チーム2回戦総当たり結果記入用'!$AM$33,"",IF(P25="","",IF(P25&gt;R25,"○",IF(P25=R25,"△","●"))))</f>
        <v>●</v>
      </c>
      <c r="Q23" s="468"/>
      <c r="R23" s="469"/>
      <c r="S23" s="473" t="str">
        <f ca="1">IF($A$9&lt;'5チーム2回戦総当たり結果記入用'!$AM$34,"",IF(S25="","",IF(S25&gt;U25,"○",IF(S25=U25,"△","●"))))</f>
        <v>○</v>
      </c>
      <c r="T23" s="468"/>
      <c r="U23" s="469"/>
      <c r="V23" s="445">
        <f ca="1">SUM(W23:Y28)</f>
        <v>8</v>
      </c>
      <c r="W23" s="445">
        <f ca="1">COUNTIF($G23:$U28,"○")</f>
        <v>5</v>
      </c>
      <c r="X23" s="445">
        <f ca="1">COUNTIF($G23:$U28,"△")</f>
        <v>0</v>
      </c>
      <c r="Y23" s="445">
        <f ca="1">COUNTIF($G23:$U28,"●")</f>
        <v>3</v>
      </c>
      <c r="Z23" s="445">
        <f t="shared" ref="Z23" ca="1" si="6">SUM(G25,J25,M25,P25,S25,G28,J28,M28,P28,S28)</f>
        <v>53</v>
      </c>
      <c r="AA23" s="445">
        <f t="shared" ref="AA23" ca="1" si="7">SUM(I25,L25,O25,R25,U25,I28,L28,O28,R28,U28)</f>
        <v>42</v>
      </c>
      <c r="AB23" s="445">
        <f ca="1">Z23-AA23</f>
        <v>11</v>
      </c>
      <c r="AC23" s="445">
        <f ca="1">W23*3+X23*1</f>
        <v>15</v>
      </c>
      <c r="AD23" s="475">
        <f t="shared" ref="AD23" ca="1" si="8">IF($A$9&lt;1,"",RANK(AS23,$AS$11:$AT$40,0))</f>
        <v>3</v>
      </c>
      <c r="AE23" s="512" t="str">
        <f>A23</f>
        <v>うなぎ</v>
      </c>
      <c r="AF23" s="512"/>
      <c r="AG23" s="512"/>
      <c r="AH23" s="512"/>
      <c r="AI23" s="512"/>
      <c r="AJ23" s="512"/>
      <c r="AK23" s="512"/>
      <c r="AL23" s="484">
        <f t="shared" ref="AL23" si="9">IF($A$9&lt;1,"",CB23)</f>
        <v>1</v>
      </c>
      <c r="AS23" s="460">
        <f ca="1">AC23*100+AB23+Z23/100</f>
        <v>1511.53</v>
      </c>
      <c r="AT23" s="460"/>
      <c r="AZ23" s="89" t="s">
        <v>36</v>
      </c>
      <c r="BA23" s="83">
        <f>IF('対戦表 (HP用)'!BA23="","",'対戦表 (HP用)'!BA23)</f>
        <v>1</v>
      </c>
      <c r="BB23" s="83" t="str">
        <f>IF('対戦表 (HP用)'!BB23="","",'対戦表 (HP用)'!BB23)</f>
        <v/>
      </c>
      <c r="BC23" s="83">
        <f>IF('対戦表 (HP用)'!BC23="","",'対戦表 (HP用)'!BC23)</f>
        <v>2</v>
      </c>
      <c r="BD23" s="83">
        <f>IF('対戦表 (HP用)'!BD23="","",'対戦表 (HP用)'!BD23)</f>
        <v>0</v>
      </c>
      <c r="BE23" s="83">
        <f>IF('対戦表 (HP用)'!BE23="","",'対戦表 (HP用)'!BE23)</f>
        <v>0</v>
      </c>
      <c r="BF23" s="83">
        <f>IF('対戦表 (HP用)'!BF23="","",'対戦表 (HP用)'!BF23)</f>
        <v>1</v>
      </c>
      <c r="BG23" s="83">
        <f>IF('対戦表 (HP用)'!BG23="","",'対戦表 (HP用)'!BG23)</f>
        <v>1</v>
      </c>
      <c r="BH23" s="83">
        <f>IF('対戦表 (HP用)'!BH23="","",'対戦表 (HP用)'!BH23)</f>
        <v>1</v>
      </c>
      <c r="BI23" s="83">
        <f>IF('対戦表 (HP用)'!BI23="","",'対戦表 (HP用)'!BI23)</f>
        <v>0</v>
      </c>
      <c r="BJ23" s="83" t="str">
        <f>IF('対戦表 (HP用)'!BJ23="","",'対戦表 (HP用)'!BJ23)</f>
        <v/>
      </c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90">
        <f t="shared" si="5"/>
        <v>6</v>
      </c>
      <c r="BW23" s="90">
        <f>BV23*1</f>
        <v>6</v>
      </c>
      <c r="BX23" s="446">
        <f>SUM(BW23:BW25)</f>
        <v>6</v>
      </c>
      <c r="BY23" s="448"/>
      <c r="BZ23" s="448"/>
      <c r="CA23" s="446">
        <f>SUM(BX23:BZ25)</f>
        <v>6</v>
      </c>
      <c r="CB23" s="461">
        <f>RANK(CA23,$CA$11:$CA$37,1)</f>
        <v>1</v>
      </c>
    </row>
    <row r="24" spans="1:80" ht="15.95" customHeight="1" x14ac:dyDescent="0.15">
      <c r="A24" s="496"/>
      <c r="B24" s="497"/>
      <c r="C24" s="497"/>
      <c r="D24" s="497"/>
      <c r="E24" s="497"/>
      <c r="F24" s="498"/>
      <c r="G24" s="474"/>
      <c r="H24" s="471"/>
      <c r="I24" s="472"/>
      <c r="J24" s="474"/>
      <c r="K24" s="471"/>
      <c r="L24" s="472"/>
      <c r="M24" s="434"/>
      <c r="N24" s="435"/>
      <c r="O24" s="436"/>
      <c r="P24" s="474"/>
      <c r="Q24" s="471"/>
      <c r="R24" s="472"/>
      <c r="S24" s="474"/>
      <c r="T24" s="471"/>
      <c r="U24" s="472"/>
      <c r="V24" s="445"/>
      <c r="W24" s="445"/>
      <c r="X24" s="445"/>
      <c r="Y24" s="445"/>
      <c r="Z24" s="445"/>
      <c r="AA24" s="445"/>
      <c r="AB24" s="445"/>
      <c r="AC24" s="445"/>
      <c r="AD24" s="475"/>
      <c r="AE24" s="512"/>
      <c r="AF24" s="512"/>
      <c r="AG24" s="512"/>
      <c r="AH24" s="512"/>
      <c r="AI24" s="512"/>
      <c r="AJ24" s="512"/>
      <c r="AK24" s="512"/>
      <c r="AL24" s="484"/>
      <c r="AS24" s="460"/>
      <c r="AT24" s="460"/>
      <c r="AZ24" s="75" t="s">
        <v>37</v>
      </c>
      <c r="BA24" s="85" t="str">
        <f>IF('対戦表 (HP用)'!BA24="","",'対戦表 (HP用)'!BA24)</f>
        <v/>
      </c>
      <c r="BB24" s="85" t="str">
        <f>IF('対戦表 (HP用)'!BB24="","",'対戦表 (HP用)'!BB24)</f>
        <v/>
      </c>
      <c r="BC24" s="85" t="str">
        <f>IF('対戦表 (HP用)'!BC24="","",'対戦表 (HP用)'!BC24)</f>
        <v/>
      </c>
      <c r="BD24" s="85" t="str">
        <f>IF('対戦表 (HP用)'!BD24="","",'対戦表 (HP用)'!BD24)</f>
        <v/>
      </c>
      <c r="BE24" s="85" t="str">
        <f>IF('対戦表 (HP用)'!BE24="","",'対戦表 (HP用)'!BE24)</f>
        <v/>
      </c>
      <c r="BF24" s="85" t="str">
        <f>IF('対戦表 (HP用)'!BF24="","",'対戦表 (HP用)'!BF24)</f>
        <v/>
      </c>
      <c r="BG24" s="85" t="str">
        <f>IF('対戦表 (HP用)'!BG24="","",'対戦表 (HP用)'!BG24)</f>
        <v/>
      </c>
      <c r="BH24" s="85" t="str">
        <f>IF('対戦表 (HP用)'!BH24="","",'対戦表 (HP用)'!BH24)</f>
        <v/>
      </c>
      <c r="BI24" s="85" t="str">
        <f>IF('対戦表 (HP用)'!BI24="","",'対戦表 (HP用)'!BI24)</f>
        <v/>
      </c>
      <c r="BJ24" s="85" t="str">
        <f>IF('対戦表 (HP用)'!BJ24="","",'対戦表 (HP用)'!BJ24)</f>
        <v/>
      </c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>
        <f t="shared" si="5"/>
        <v>0</v>
      </c>
      <c r="BW24" s="77">
        <f>BV24*5</f>
        <v>0</v>
      </c>
      <c r="BX24" s="440"/>
      <c r="BY24" s="441"/>
      <c r="BZ24" s="441"/>
      <c r="CA24" s="440"/>
      <c r="CB24" s="442"/>
    </row>
    <row r="25" spans="1:80" ht="15.95" customHeight="1" x14ac:dyDescent="0.15">
      <c r="A25" s="496"/>
      <c r="B25" s="497"/>
      <c r="C25" s="497"/>
      <c r="D25" s="497"/>
      <c r="E25" s="497"/>
      <c r="F25" s="498"/>
      <c r="G25" s="79">
        <f ca="1">$O$13</f>
        <v>9</v>
      </c>
      <c r="H25" s="79" t="s">
        <v>38</v>
      </c>
      <c r="I25" s="80">
        <f ca="1">$M$13</f>
        <v>3</v>
      </c>
      <c r="J25" s="78">
        <f ca="1">$O$19</f>
        <v>4</v>
      </c>
      <c r="K25" s="79" t="s">
        <v>38</v>
      </c>
      <c r="L25" s="80">
        <f ca="1">$M$19</f>
        <v>12</v>
      </c>
      <c r="M25" s="437"/>
      <c r="N25" s="438"/>
      <c r="O25" s="439"/>
      <c r="P25" s="78">
        <f ca="1">IF($A$9&lt;'5チーム2回戦総当たり結果記入用'!$AM$33,"",'5チーム2回戦総当たり結果記入用'!$AK$33)</f>
        <v>6</v>
      </c>
      <c r="Q25" s="79" t="s">
        <v>67</v>
      </c>
      <c r="R25" s="80">
        <f ca="1">IF($A$9&lt;'5チーム2回戦総当たり結果記入用'!$AM$33,"",'5チーム2回戦総当たり結果記入用'!$AL$33)</f>
        <v>7</v>
      </c>
      <c r="S25" s="78">
        <f ca="1">IF($A$9&lt;'5チーム2回戦総当たり結果記入用'!$AM$34,"",'5チーム2回戦総当たり結果記入用'!$AK$34)</f>
        <v>8</v>
      </c>
      <c r="T25" s="79" t="s">
        <v>67</v>
      </c>
      <c r="U25" s="80">
        <f ca="1">IF($A$9&lt;'5チーム2回戦総当たり結果記入用'!$AM$34,"",'5チーム2回戦総当たり結果記入用'!$AL$34)</f>
        <v>1</v>
      </c>
      <c r="V25" s="445"/>
      <c r="W25" s="445"/>
      <c r="X25" s="445"/>
      <c r="Y25" s="445"/>
      <c r="Z25" s="445"/>
      <c r="AA25" s="445"/>
      <c r="AB25" s="445"/>
      <c r="AC25" s="445"/>
      <c r="AD25" s="475"/>
      <c r="AE25" s="512"/>
      <c r="AF25" s="512"/>
      <c r="AG25" s="512"/>
      <c r="AH25" s="512"/>
      <c r="AI25" s="512"/>
      <c r="AJ25" s="512"/>
      <c r="AK25" s="512"/>
      <c r="AL25" s="484"/>
      <c r="AS25" s="460"/>
      <c r="AT25" s="460"/>
      <c r="AZ25" s="91" t="s">
        <v>39</v>
      </c>
      <c r="BA25" s="88" t="str">
        <f>IF('対戦表 (HP用)'!BA25="","",'対戦表 (HP用)'!BA25)</f>
        <v/>
      </c>
      <c r="BB25" s="88" t="str">
        <f>IF('対戦表 (HP用)'!BB25="","",'対戦表 (HP用)'!BB25)</f>
        <v/>
      </c>
      <c r="BC25" s="88" t="str">
        <f>IF('対戦表 (HP用)'!BC25="","",'対戦表 (HP用)'!BC25)</f>
        <v/>
      </c>
      <c r="BD25" s="88" t="str">
        <f>IF('対戦表 (HP用)'!BD25="","",'対戦表 (HP用)'!BD25)</f>
        <v/>
      </c>
      <c r="BE25" s="88" t="str">
        <f>IF('対戦表 (HP用)'!BE25="","",'対戦表 (HP用)'!BE25)</f>
        <v/>
      </c>
      <c r="BF25" s="88" t="str">
        <f>IF('対戦表 (HP用)'!BF25="","",'対戦表 (HP用)'!BF25)</f>
        <v/>
      </c>
      <c r="BG25" s="88" t="str">
        <f>IF('対戦表 (HP用)'!BG25="","",'対戦表 (HP用)'!BG25)</f>
        <v/>
      </c>
      <c r="BH25" s="88" t="str">
        <f>IF('対戦表 (HP用)'!BH25="","",'対戦表 (HP用)'!BH25)</f>
        <v/>
      </c>
      <c r="BI25" s="88" t="str">
        <f>IF('対戦表 (HP用)'!BI25="","",'対戦表 (HP用)'!BI25)</f>
        <v/>
      </c>
      <c r="BJ25" s="88" t="str">
        <f>IF('対戦表 (HP用)'!BJ25="","",'対戦表 (HP用)'!BJ25)</f>
        <v/>
      </c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92">
        <f t="shared" si="5"/>
        <v>0</v>
      </c>
      <c r="BW25" s="92">
        <f>BV25*10</f>
        <v>0</v>
      </c>
      <c r="BX25" s="447"/>
      <c r="BY25" s="449"/>
      <c r="BZ25" s="449"/>
      <c r="CA25" s="447"/>
      <c r="CB25" s="462"/>
    </row>
    <row r="26" spans="1:80" ht="15.95" customHeight="1" x14ac:dyDescent="0.15">
      <c r="A26" s="496"/>
      <c r="B26" s="497"/>
      <c r="C26" s="497"/>
      <c r="D26" s="497"/>
      <c r="E26" s="497"/>
      <c r="F26" s="498"/>
      <c r="G26" s="474" t="str">
        <f ca="1">IF($A$9&lt;'5チーム2回戦総当たり結果記入用'!$AM$125,"",IF(G28="","",IF(G28&gt;I28,"○",IF(G28=I28,"△","●"))))</f>
        <v>○</v>
      </c>
      <c r="H26" s="471"/>
      <c r="I26" s="472"/>
      <c r="J26" s="473" t="str">
        <f ca="1">IF($A$9&lt;'5チーム2回戦総当たり結果記入用'!$AM$139,"",IF(J28="","",IF(J28&gt;L28,"○",IF(J28=L28,"△","●"))))</f>
        <v>●</v>
      </c>
      <c r="K26" s="468"/>
      <c r="L26" s="469"/>
      <c r="M26" s="431"/>
      <c r="N26" s="432"/>
      <c r="O26" s="433"/>
      <c r="P26" s="473" t="str">
        <f ca="1">IF($A$9&lt;'5チーム2回戦総当たり結果記入用'!$AM$153,"",IF(P28="","",IF(P28&gt;R28,"○",IF(P28=R28,"△","●"))))</f>
        <v>○</v>
      </c>
      <c r="Q26" s="468"/>
      <c r="R26" s="469"/>
      <c r="S26" s="473" t="str">
        <f ca="1">IF($A$9&lt;'5チーム2回戦総当たり結果記入用'!$AM$154,"",IF(S28="","",IF(S28&gt;U28,"○",IF(S28=U28,"△","●"))))</f>
        <v>○</v>
      </c>
      <c r="T26" s="468"/>
      <c r="U26" s="469"/>
      <c r="V26" s="445"/>
      <c r="W26" s="445"/>
      <c r="X26" s="445"/>
      <c r="Y26" s="445"/>
      <c r="Z26" s="445"/>
      <c r="AA26" s="445"/>
      <c r="AB26" s="445"/>
      <c r="AC26" s="445"/>
      <c r="AD26" s="475"/>
      <c r="AE26" s="512">
        <f>A26</f>
        <v>0</v>
      </c>
      <c r="AF26" s="512"/>
      <c r="AG26" s="512"/>
      <c r="AH26" s="512"/>
      <c r="AI26" s="512"/>
      <c r="AJ26" s="512"/>
      <c r="AK26" s="512"/>
      <c r="AL26" s="484"/>
      <c r="AS26" s="460"/>
      <c r="AT26" s="460"/>
      <c r="AZ26" s="84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85"/>
      <c r="BW26" s="85"/>
      <c r="BX26" s="414"/>
      <c r="BY26" s="441"/>
      <c r="BZ26" s="441"/>
      <c r="CA26" s="414"/>
      <c r="CB26" s="417"/>
    </row>
    <row r="27" spans="1:80" ht="15.95" customHeight="1" x14ac:dyDescent="0.15">
      <c r="A27" s="496"/>
      <c r="B27" s="497"/>
      <c r="C27" s="497"/>
      <c r="D27" s="497"/>
      <c r="E27" s="497"/>
      <c r="F27" s="498"/>
      <c r="G27" s="474"/>
      <c r="H27" s="471"/>
      <c r="I27" s="472"/>
      <c r="J27" s="474"/>
      <c r="K27" s="471"/>
      <c r="L27" s="472"/>
      <c r="M27" s="434"/>
      <c r="N27" s="435"/>
      <c r="O27" s="436"/>
      <c r="P27" s="474"/>
      <c r="Q27" s="471"/>
      <c r="R27" s="472"/>
      <c r="S27" s="474"/>
      <c r="T27" s="471"/>
      <c r="U27" s="472"/>
      <c r="V27" s="445"/>
      <c r="W27" s="445"/>
      <c r="X27" s="445"/>
      <c r="Y27" s="445"/>
      <c r="Z27" s="445"/>
      <c r="AA27" s="445"/>
      <c r="AB27" s="445"/>
      <c r="AC27" s="445"/>
      <c r="AD27" s="475"/>
      <c r="AE27" s="512"/>
      <c r="AF27" s="512"/>
      <c r="AG27" s="512"/>
      <c r="AH27" s="512"/>
      <c r="AI27" s="512"/>
      <c r="AJ27" s="512"/>
      <c r="AK27" s="512"/>
      <c r="AL27" s="484"/>
      <c r="AS27" s="460"/>
      <c r="AT27" s="460"/>
      <c r="AZ27" s="84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85"/>
      <c r="BW27" s="85"/>
      <c r="BX27" s="414"/>
      <c r="BY27" s="441"/>
      <c r="BZ27" s="441"/>
      <c r="CA27" s="414"/>
      <c r="CB27" s="417"/>
    </row>
    <row r="28" spans="1:80" ht="15.95" customHeight="1" x14ac:dyDescent="0.15">
      <c r="A28" s="499"/>
      <c r="B28" s="500"/>
      <c r="C28" s="500"/>
      <c r="D28" s="500"/>
      <c r="E28" s="500"/>
      <c r="F28" s="501"/>
      <c r="G28" s="79">
        <f ca="1">$O$16</f>
        <v>5</v>
      </c>
      <c r="H28" s="79" t="s">
        <v>38</v>
      </c>
      <c r="I28" s="80">
        <f ca="1">$M$16</f>
        <v>1</v>
      </c>
      <c r="J28" s="78">
        <f ca="1">$O$22</f>
        <v>4</v>
      </c>
      <c r="K28" s="79" t="s">
        <v>38</v>
      </c>
      <c r="L28" s="80">
        <f ca="1">$M$22</f>
        <v>8</v>
      </c>
      <c r="M28" s="437"/>
      <c r="N28" s="438"/>
      <c r="O28" s="439"/>
      <c r="P28" s="78">
        <f ca="1">IF($A$9&lt;'5チーム2回戦総当たり結果記入用'!$AM$153,"",'5チーム2回戦総当たり結果記入用'!$AL$153)</f>
        <v>10</v>
      </c>
      <c r="Q28" s="79" t="s">
        <v>67</v>
      </c>
      <c r="R28" s="80">
        <f ca="1">IF($A$9&lt;'5チーム2回戦総当たり結果記入用'!$AM$153,"",'5チーム2回戦総当たり結果記入用'!$AK$153)</f>
        <v>4</v>
      </c>
      <c r="S28" s="78">
        <f ca="1">IF($A$9&lt;'5チーム2回戦総当たり結果記入用'!$AM$154,"",'5チーム2回戦総当たり結果記入用'!$AL$154)</f>
        <v>7</v>
      </c>
      <c r="T28" s="79" t="s">
        <v>67</v>
      </c>
      <c r="U28" s="80">
        <f ca="1">IF($A$9&lt;'5チーム2回戦総当たり結果記入用'!$AM$154,"",'5チーム2回戦総当たり結果記入用'!$AK$154)</f>
        <v>6</v>
      </c>
      <c r="V28" s="445"/>
      <c r="W28" s="445"/>
      <c r="X28" s="445"/>
      <c r="Y28" s="445"/>
      <c r="Z28" s="445"/>
      <c r="AA28" s="445"/>
      <c r="AB28" s="445"/>
      <c r="AC28" s="445"/>
      <c r="AD28" s="475"/>
      <c r="AE28" s="512"/>
      <c r="AF28" s="512"/>
      <c r="AG28" s="512"/>
      <c r="AH28" s="512"/>
      <c r="AI28" s="512"/>
      <c r="AJ28" s="512"/>
      <c r="AK28" s="512"/>
      <c r="AL28" s="484"/>
      <c r="AS28" s="460"/>
      <c r="AT28" s="460"/>
      <c r="AZ28" s="84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85"/>
      <c r="BW28" s="85"/>
      <c r="BX28" s="414"/>
      <c r="BY28" s="441"/>
      <c r="BZ28" s="441"/>
      <c r="CA28" s="414"/>
      <c r="CB28" s="417"/>
    </row>
    <row r="29" spans="1:80" ht="15.95" customHeight="1" x14ac:dyDescent="0.15">
      <c r="A29" s="493" t="str">
        <f>'5チーム2回戦総当たりスケジュール作業表'!$X$9</f>
        <v>飛杉田新地</v>
      </c>
      <c r="B29" s="494"/>
      <c r="C29" s="494"/>
      <c r="D29" s="494"/>
      <c r="E29" s="494"/>
      <c r="F29" s="495"/>
      <c r="G29" s="474" t="str">
        <f ca="1">IF($A$9&lt;'5チーム2回戦総当たり結果記入用'!$AM$6,"",IF(G31="","",IF(G31&gt;I31,"○",IF(G31=I31,"△","●"))))</f>
        <v>○</v>
      </c>
      <c r="H29" s="471"/>
      <c r="I29" s="472"/>
      <c r="J29" s="473" t="str">
        <f ca="1">IF($A$9&lt;'5チーム2回戦総当たり結果記入用'!$AM$20,"",IF(J31="","",IF(J31&gt;L31,"○",IF(J31=L31,"△","●"))))</f>
        <v>●</v>
      </c>
      <c r="K29" s="468"/>
      <c r="L29" s="469"/>
      <c r="M29" s="473" t="str">
        <f ca="1">IF($A$9&lt;'5チーム2回戦総当たり結果記入用'!$AM$33,"",IF(M31="","",IF(M31&gt;O31,"○",IF(M31=O31,"△","●"))))</f>
        <v>○</v>
      </c>
      <c r="N29" s="468"/>
      <c r="O29" s="469"/>
      <c r="P29" s="431"/>
      <c r="Q29" s="432"/>
      <c r="R29" s="433"/>
      <c r="S29" s="473" t="str">
        <f ca="1">IF($A$9&lt;'5チーム2回戦総当たり結果記入用'!$AM$46,"",IF(S31="","",IF(S31&gt;U31,"○",IF(S31=U31,"△","●"))))</f>
        <v>●</v>
      </c>
      <c r="T29" s="468"/>
      <c r="U29" s="469"/>
      <c r="V29" s="445">
        <f ca="1">SUM(W29:Y31)</f>
        <v>7</v>
      </c>
      <c r="W29" s="445">
        <f ca="1">COUNTIF($G29:$U34,"○")</f>
        <v>2</v>
      </c>
      <c r="X29" s="445">
        <f ca="1">COUNTIF($G29:$U34,"△")</f>
        <v>0</v>
      </c>
      <c r="Y29" s="445">
        <f ca="1">COUNTIF($G29:$U34,"●")</f>
        <v>5</v>
      </c>
      <c r="Z29" s="445">
        <f t="shared" ref="Z29" ca="1" si="10">SUM(G31,J31,M31,P31,S31,G34,J34,M34,P34,S34)</f>
        <v>41</v>
      </c>
      <c r="AA29" s="445">
        <f t="shared" ref="AA29" ca="1" si="11">SUM(I31,L31,O31,R31,U31,I34,L34,O34,R34,U34)</f>
        <v>64</v>
      </c>
      <c r="AB29" s="445">
        <f ca="1">Z29-AA29</f>
        <v>-23</v>
      </c>
      <c r="AC29" s="445">
        <f ca="1">W29*3+X29*1</f>
        <v>6</v>
      </c>
      <c r="AD29" s="475">
        <f t="shared" ref="AD29" ca="1" si="12">IF($A$9&lt;1,"",RANK(AS29,$AS$11:$AT$40,0))</f>
        <v>4</v>
      </c>
      <c r="AE29" s="512" t="str">
        <f>A29</f>
        <v>飛杉田新地</v>
      </c>
      <c r="AF29" s="512"/>
      <c r="AG29" s="512"/>
      <c r="AH29" s="512"/>
      <c r="AI29" s="512"/>
      <c r="AJ29" s="512"/>
      <c r="AK29" s="512"/>
      <c r="AL29" s="484">
        <f t="shared" ref="AL29" si="13">IF($A$9&lt;1,"",CB29)</f>
        <v>1</v>
      </c>
      <c r="AS29" s="460">
        <f ca="1">AC29*100+AB29+Z29/100</f>
        <v>577.41</v>
      </c>
      <c r="AT29" s="460"/>
      <c r="AZ29" s="89" t="s">
        <v>36</v>
      </c>
      <c r="BA29" s="83">
        <f>IF('対戦表 (HP用)'!BA29="","",'対戦表 (HP用)'!BA29)</f>
        <v>3</v>
      </c>
      <c r="BB29" s="83">
        <f>IF('対戦表 (HP用)'!BB29="","",'対戦表 (HP用)'!BB29)</f>
        <v>1</v>
      </c>
      <c r="BC29" s="83">
        <f>IF('対戦表 (HP用)'!BC29="","",'対戦表 (HP用)'!BC29)</f>
        <v>0</v>
      </c>
      <c r="BD29" s="83" t="str">
        <f>IF('対戦表 (HP用)'!BD29="","",'対戦表 (HP用)'!BD29)</f>
        <v/>
      </c>
      <c r="BE29" s="83">
        <f>IF('対戦表 (HP用)'!BE29="","",'対戦表 (HP用)'!BE29)</f>
        <v>0</v>
      </c>
      <c r="BF29" s="83">
        <f>IF('対戦表 (HP用)'!BF29="","",'対戦表 (HP用)'!BF29)</f>
        <v>0</v>
      </c>
      <c r="BG29" s="83">
        <f>IF('対戦表 (HP用)'!BG29="","",'対戦表 (HP用)'!BG29)</f>
        <v>2</v>
      </c>
      <c r="BH29" s="83" t="str">
        <f>IF('対戦表 (HP用)'!BH29="","",'対戦表 (HP用)'!BH29)</f>
        <v/>
      </c>
      <c r="BI29" s="83" t="str">
        <f>IF('対戦表 (HP用)'!BI29="","",'対戦表 (HP用)'!BI29)</f>
        <v/>
      </c>
      <c r="BJ29" s="83">
        <f>IF('対戦表 (HP用)'!BJ29="","",'対戦表 (HP用)'!BJ29)</f>
        <v>0</v>
      </c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90">
        <f t="shared" si="5"/>
        <v>6</v>
      </c>
      <c r="BW29" s="90">
        <f>BV29*1</f>
        <v>6</v>
      </c>
      <c r="BX29" s="446">
        <f>SUM(BW29:BW31)</f>
        <v>6</v>
      </c>
      <c r="BY29" s="448"/>
      <c r="BZ29" s="448"/>
      <c r="CA29" s="446">
        <f>SUM(BX29:BZ31)</f>
        <v>6</v>
      </c>
      <c r="CB29" s="461">
        <f>RANK(CA29,$CA$11:$CA$37,1)</f>
        <v>1</v>
      </c>
    </row>
    <row r="30" spans="1:80" ht="15.95" customHeight="1" x14ac:dyDescent="0.15">
      <c r="A30" s="496"/>
      <c r="B30" s="497"/>
      <c r="C30" s="497"/>
      <c r="D30" s="497"/>
      <c r="E30" s="497"/>
      <c r="F30" s="498"/>
      <c r="G30" s="474"/>
      <c r="H30" s="471"/>
      <c r="I30" s="472"/>
      <c r="J30" s="474"/>
      <c r="K30" s="471"/>
      <c r="L30" s="472"/>
      <c r="M30" s="474"/>
      <c r="N30" s="471"/>
      <c r="O30" s="472"/>
      <c r="P30" s="434"/>
      <c r="Q30" s="435"/>
      <c r="R30" s="436"/>
      <c r="S30" s="474"/>
      <c r="T30" s="471"/>
      <c r="U30" s="472"/>
      <c r="V30" s="445"/>
      <c r="W30" s="445"/>
      <c r="X30" s="445"/>
      <c r="Y30" s="445"/>
      <c r="Z30" s="445"/>
      <c r="AA30" s="445"/>
      <c r="AB30" s="445"/>
      <c r="AC30" s="445"/>
      <c r="AD30" s="475"/>
      <c r="AE30" s="512"/>
      <c r="AF30" s="512"/>
      <c r="AG30" s="512"/>
      <c r="AH30" s="512"/>
      <c r="AI30" s="512"/>
      <c r="AJ30" s="512"/>
      <c r="AK30" s="512"/>
      <c r="AL30" s="484"/>
      <c r="AS30" s="460"/>
      <c r="AT30" s="460"/>
      <c r="AZ30" s="75" t="s">
        <v>37</v>
      </c>
      <c r="BA30" s="85" t="str">
        <f>IF('対戦表 (HP用)'!BA30="","",'対戦表 (HP用)'!BA30)</f>
        <v/>
      </c>
      <c r="BB30" s="85" t="str">
        <f>IF('対戦表 (HP用)'!BB30="","",'対戦表 (HP用)'!BB30)</f>
        <v/>
      </c>
      <c r="BC30" s="85" t="str">
        <f>IF('対戦表 (HP用)'!BC30="","",'対戦表 (HP用)'!BC30)</f>
        <v/>
      </c>
      <c r="BD30" s="85" t="str">
        <f>IF('対戦表 (HP用)'!BD30="","",'対戦表 (HP用)'!BD30)</f>
        <v/>
      </c>
      <c r="BE30" s="85" t="str">
        <f>IF('対戦表 (HP用)'!BE30="","",'対戦表 (HP用)'!BE30)</f>
        <v/>
      </c>
      <c r="BF30" s="85" t="str">
        <f>IF('対戦表 (HP用)'!BF30="","",'対戦表 (HP用)'!BF30)</f>
        <v/>
      </c>
      <c r="BG30" s="85" t="str">
        <f>IF('対戦表 (HP用)'!BG30="","",'対戦表 (HP用)'!BG30)</f>
        <v/>
      </c>
      <c r="BH30" s="85" t="str">
        <f>IF('対戦表 (HP用)'!BH30="","",'対戦表 (HP用)'!BH30)</f>
        <v/>
      </c>
      <c r="BI30" s="85" t="str">
        <f>IF('対戦表 (HP用)'!BI30="","",'対戦表 (HP用)'!BI30)</f>
        <v/>
      </c>
      <c r="BJ30" s="85" t="str">
        <f>IF('対戦表 (HP用)'!BJ30="","",'対戦表 (HP用)'!BJ30)</f>
        <v/>
      </c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7">
        <f t="shared" si="5"/>
        <v>0</v>
      </c>
      <c r="BW30" s="77">
        <f>BV30*5</f>
        <v>0</v>
      </c>
      <c r="BX30" s="440"/>
      <c r="BY30" s="441"/>
      <c r="BZ30" s="441"/>
      <c r="CA30" s="440"/>
      <c r="CB30" s="442"/>
    </row>
    <row r="31" spans="1:80" ht="15.95" customHeight="1" x14ac:dyDescent="0.15">
      <c r="A31" s="496"/>
      <c r="B31" s="497"/>
      <c r="C31" s="497"/>
      <c r="D31" s="497"/>
      <c r="E31" s="497"/>
      <c r="F31" s="498"/>
      <c r="G31" s="79">
        <f ca="1">$R$13</f>
        <v>12</v>
      </c>
      <c r="H31" s="79" t="s">
        <v>38</v>
      </c>
      <c r="I31" s="80">
        <f ca="1">$P$13</f>
        <v>7</v>
      </c>
      <c r="J31" s="78">
        <f ca="1">$R$19</f>
        <v>3</v>
      </c>
      <c r="K31" s="79" t="s">
        <v>67</v>
      </c>
      <c r="L31" s="80">
        <f ca="1">$P$19</f>
        <v>6</v>
      </c>
      <c r="M31" s="78">
        <f ca="1">$R$25</f>
        <v>7</v>
      </c>
      <c r="N31" s="79" t="s">
        <v>67</v>
      </c>
      <c r="O31" s="80">
        <f ca="1">$P$25</f>
        <v>6</v>
      </c>
      <c r="P31" s="437"/>
      <c r="Q31" s="438"/>
      <c r="R31" s="439"/>
      <c r="S31" s="78">
        <f ca="1">IF($A$9&lt;'5チーム2回戦総当たり結果記入用'!$AM$46,"",'5チーム2回戦総当たり結果記入用'!$AK$46)</f>
        <v>8</v>
      </c>
      <c r="T31" s="79" t="s">
        <v>67</v>
      </c>
      <c r="U31" s="80">
        <f ca="1">IF($A$9&lt;'5チーム2回戦総当たり結果記入用'!$AM$46,"",'5チーム2回戦総当たり結果記入用'!$AL$46)</f>
        <v>11</v>
      </c>
      <c r="V31" s="445"/>
      <c r="W31" s="445"/>
      <c r="X31" s="445"/>
      <c r="Y31" s="445"/>
      <c r="Z31" s="445"/>
      <c r="AA31" s="445"/>
      <c r="AB31" s="445"/>
      <c r="AC31" s="445"/>
      <c r="AD31" s="475"/>
      <c r="AE31" s="512"/>
      <c r="AF31" s="512"/>
      <c r="AG31" s="512"/>
      <c r="AH31" s="512"/>
      <c r="AI31" s="512"/>
      <c r="AJ31" s="512"/>
      <c r="AK31" s="512"/>
      <c r="AL31" s="484"/>
      <c r="AS31" s="460"/>
      <c r="AT31" s="460"/>
      <c r="AZ31" s="91" t="s">
        <v>39</v>
      </c>
      <c r="BA31" s="88" t="str">
        <f>IF('対戦表 (HP用)'!BA31="","",'対戦表 (HP用)'!BA31)</f>
        <v/>
      </c>
      <c r="BB31" s="88" t="str">
        <f>IF('対戦表 (HP用)'!BB31="","",'対戦表 (HP用)'!BB31)</f>
        <v/>
      </c>
      <c r="BC31" s="88" t="str">
        <f>IF('対戦表 (HP用)'!BC31="","",'対戦表 (HP用)'!BC31)</f>
        <v/>
      </c>
      <c r="BD31" s="88" t="str">
        <f>IF('対戦表 (HP用)'!BD31="","",'対戦表 (HP用)'!BD31)</f>
        <v/>
      </c>
      <c r="BE31" s="88" t="str">
        <f>IF('対戦表 (HP用)'!BE31="","",'対戦表 (HP用)'!BE31)</f>
        <v/>
      </c>
      <c r="BF31" s="88" t="str">
        <f>IF('対戦表 (HP用)'!BF31="","",'対戦表 (HP用)'!BF31)</f>
        <v/>
      </c>
      <c r="BG31" s="88" t="str">
        <f>IF('対戦表 (HP用)'!BG31="","",'対戦表 (HP用)'!BG31)</f>
        <v/>
      </c>
      <c r="BH31" s="88" t="str">
        <f>IF('対戦表 (HP用)'!BH31="","",'対戦表 (HP用)'!BH31)</f>
        <v/>
      </c>
      <c r="BI31" s="88" t="str">
        <f>IF('対戦表 (HP用)'!BI31="","",'対戦表 (HP用)'!BI31)</f>
        <v/>
      </c>
      <c r="BJ31" s="88" t="str">
        <f>IF('対戦表 (HP用)'!BJ31="","",'対戦表 (HP用)'!BJ31)</f>
        <v/>
      </c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92">
        <f t="shared" si="5"/>
        <v>0</v>
      </c>
      <c r="BW31" s="92">
        <f>BV31*10</f>
        <v>0</v>
      </c>
      <c r="BX31" s="447"/>
      <c r="BY31" s="449"/>
      <c r="BZ31" s="449"/>
      <c r="CA31" s="447"/>
      <c r="CB31" s="462"/>
    </row>
    <row r="32" spans="1:80" ht="15.95" customHeight="1" x14ac:dyDescent="0.15">
      <c r="A32" s="496"/>
      <c r="B32" s="497"/>
      <c r="C32" s="497"/>
      <c r="D32" s="497"/>
      <c r="E32" s="497"/>
      <c r="F32" s="498"/>
      <c r="G32" s="474" t="str">
        <f ca="1">IF($A$9&lt;'5チーム2回戦総当たり結果記入用'!$AM$126,"",IF(G34="","",IF(G34&gt;I34,"○",IF(G34=I34,"△","●"))))</f>
        <v>●</v>
      </c>
      <c r="H32" s="471"/>
      <c r="I32" s="472"/>
      <c r="J32" s="473" t="str">
        <f ca="1">IF($A$9&lt;'5チーム2回戦総当たり結果記入用'!$AM$140,"",IF(J34="","",IF(J34&gt;L34,"○",IF(J34=L34,"△","●"))))</f>
        <v/>
      </c>
      <c r="K32" s="468"/>
      <c r="L32" s="469"/>
      <c r="M32" s="473" t="str">
        <f ca="1">IF($A$9&lt;'5チーム2回戦総当たり結果記入用'!$AM$153,"",IF(M34="","",IF(M34&gt;O34,"○",IF(M34=O34,"△","●"))))</f>
        <v>●</v>
      </c>
      <c r="N32" s="468"/>
      <c r="O32" s="469"/>
      <c r="P32" s="431"/>
      <c r="Q32" s="432"/>
      <c r="R32" s="433"/>
      <c r="S32" s="473" t="str">
        <f ca="1">IF($A$9&lt;'5チーム2回戦総当たり結果記入用'!$AM$166,"",IF(S34="","",IF(S34&gt;U34,"○",IF(S34=U34,"△","●"))))</f>
        <v>●</v>
      </c>
      <c r="T32" s="468"/>
      <c r="U32" s="469"/>
      <c r="V32" s="445"/>
      <c r="W32" s="445"/>
      <c r="X32" s="445"/>
      <c r="Y32" s="445"/>
      <c r="Z32" s="445"/>
      <c r="AA32" s="445"/>
      <c r="AB32" s="445"/>
      <c r="AC32" s="445"/>
      <c r="AD32" s="475"/>
      <c r="AE32" s="512">
        <f>A32</f>
        <v>0</v>
      </c>
      <c r="AF32" s="512"/>
      <c r="AG32" s="512"/>
      <c r="AH32" s="512"/>
      <c r="AI32" s="512"/>
      <c r="AJ32" s="512"/>
      <c r="AK32" s="512"/>
      <c r="AL32" s="484"/>
      <c r="AS32" s="460"/>
      <c r="AT32" s="460"/>
      <c r="AZ32" s="81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3"/>
      <c r="BW32" s="83"/>
      <c r="BX32" s="413"/>
      <c r="BY32" s="448"/>
      <c r="BZ32" s="448"/>
      <c r="CA32" s="413"/>
      <c r="CB32" s="416"/>
    </row>
    <row r="33" spans="1:80" ht="15.95" customHeight="1" x14ac:dyDescent="0.15">
      <c r="A33" s="496"/>
      <c r="B33" s="497"/>
      <c r="C33" s="497"/>
      <c r="D33" s="497"/>
      <c r="E33" s="497"/>
      <c r="F33" s="498"/>
      <c r="G33" s="474"/>
      <c r="H33" s="471"/>
      <c r="I33" s="472"/>
      <c r="J33" s="474"/>
      <c r="K33" s="471"/>
      <c r="L33" s="472"/>
      <c r="M33" s="474"/>
      <c r="N33" s="471"/>
      <c r="O33" s="472"/>
      <c r="P33" s="434"/>
      <c r="Q33" s="435"/>
      <c r="R33" s="436"/>
      <c r="S33" s="474"/>
      <c r="T33" s="471"/>
      <c r="U33" s="472"/>
      <c r="V33" s="445"/>
      <c r="W33" s="445"/>
      <c r="X33" s="445"/>
      <c r="Y33" s="445"/>
      <c r="Z33" s="445"/>
      <c r="AA33" s="445"/>
      <c r="AB33" s="445"/>
      <c r="AC33" s="445"/>
      <c r="AD33" s="475"/>
      <c r="AE33" s="512"/>
      <c r="AF33" s="512"/>
      <c r="AG33" s="512"/>
      <c r="AH33" s="512"/>
      <c r="AI33" s="512"/>
      <c r="AJ33" s="512"/>
      <c r="AK33" s="512"/>
      <c r="AL33" s="484"/>
      <c r="AS33" s="460"/>
      <c r="AT33" s="460"/>
      <c r="AZ33" s="84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85"/>
      <c r="BW33" s="85"/>
      <c r="BX33" s="414"/>
      <c r="BY33" s="441"/>
      <c r="BZ33" s="441"/>
      <c r="CA33" s="414"/>
      <c r="CB33" s="417"/>
    </row>
    <row r="34" spans="1:80" ht="15.95" customHeight="1" x14ac:dyDescent="0.15">
      <c r="A34" s="499"/>
      <c r="B34" s="500"/>
      <c r="C34" s="500"/>
      <c r="D34" s="500"/>
      <c r="E34" s="500"/>
      <c r="F34" s="501"/>
      <c r="G34" s="79">
        <f ca="1">$R$16</f>
        <v>5</v>
      </c>
      <c r="H34" s="79" t="s">
        <v>38</v>
      </c>
      <c r="I34" s="80">
        <f ca="1">$P$16</f>
        <v>9</v>
      </c>
      <c r="J34" s="78" t="str">
        <f ca="1">$R$22</f>
        <v/>
      </c>
      <c r="K34" s="79" t="s">
        <v>67</v>
      </c>
      <c r="L34" s="80" t="str">
        <f ca="1">$P$22</f>
        <v/>
      </c>
      <c r="M34" s="78">
        <f ca="1">$R$28</f>
        <v>4</v>
      </c>
      <c r="N34" s="79" t="s">
        <v>67</v>
      </c>
      <c r="O34" s="80">
        <f ca="1">$P$28</f>
        <v>10</v>
      </c>
      <c r="P34" s="437"/>
      <c r="Q34" s="438"/>
      <c r="R34" s="439"/>
      <c r="S34" s="78">
        <f ca="1">IF($A$9&lt;'5チーム2回戦総当たり結果記入用'!$AM$166,"",'5チーム2回戦総当たり結果記入用'!$AL$166)</f>
        <v>2</v>
      </c>
      <c r="T34" s="79" t="s">
        <v>67</v>
      </c>
      <c r="U34" s="80">
        <f ca="1">IF($A$9&lt;'5チーム2回戦総当たり結果記入用'!$AM$166,"",'5チーム2回戦総当たり結果記入用'!$AK$166)</f>
        <v>15</v>
      </c>
      <c r="V34" s="445"/>
      <c r="W34" s="445"/>
      <c r="X34" s="445"/>
      <c r="Y34" s="445"/>
      <c r="Z34" s="445"/>
      <c r="AA34" s="445"/>
      <c r="AB34" s="445"/>
      <c r="AC34" s="445"/>
      <c r="AD34" s="475"/>
      <c r="AE34" s="512"/>
      <c r="AF34" s="512"/>
      <c r="AG34" s="512"/>
      <c r="AH34" s="512"/>
      <c r="AI34" s="512"/>
      <c r="AJ34" s="512"/>
      <c r="AK34" s="512"/>
      <c r="AL34" s="484"/>
      <c r="AS34" s="460"/>
      <c r="AT34" s="460"/>
      <c r="AZ34" s="86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415"/>
      <c r="BY34" s="449"/>
      <c r="BZ34" s="449"/>
      <c r="CA34" s="415"/>
      <c r="CB34" s="418"/>
    </row>
    <row r="35" spans="1:80" ht="15.95" customHeight="1" x14ac:dyDescent="0.15">
      <c r="A35" s="496" t="str">
        <f>'5チーム2回戦総当たりスケジュール作業表'!$X$10</f>
        <v>PURE</v>
      </c>
      <c r="B35" s="497"/>
      <c r="C35" s="497"/>
      <c r="D35" s="497"/>
      <c r="E35" s="497"/>
      <c r="F35" s="498"/>
      <c r="G35" s="474" t="str">
        <f ca="1">IF($A$9&lt;'5チーム2回戦総当たり結果記入用'!$AM$7,"",IF(G37="","",IF(G37&gt;I37,"○",IF(G37=I37,"△","●"))))</f>
        <v>○</v>
      </c>
      <c r="H35" s="471"/>
      <c r="I35" s="472"/>
      <c r="J35" s="474" t="str">
        <f ca="1">IF($A$9&lt;'5チーム2回戦総当たり結果記入用'!$AM$21,"",IF(J37="","",IF(J37&gt;L37,"○",IF(J37=L37,"△","●"))))</f>
        <v>○</v>
      </c>
      <c r="K35" s="471"/>
      <c r="L35" s="472"/>
      <c r="M35" s="474" t="str">
        <f ca="1">IF($A$9&lt;'5チーム2回戦総当たり結果記入用'!$AM$34,"",IF(M37="","",IF(M37&gt;O37,"○",IF(M37=O37,"△","●"))))</f>
        <v>●</v>
      </c>
      <c r="N35" s="471"/>
      <c r="O35" s="472"/>
      <c r="P35" s="474" t="str">
        <f ca="1">IF($A$9&lt;'5チーム2回戦総当たり結果記入用'!$AM$46,"",IF(P37="","",IF(P37&gt;R37,"○",IF(P37=R37,"△","●"))))</f>
        <v>○</v>
      </c>
      <c r="Q35" s="471"/>
      <c r="R35" s="472"/>
      <c r="S35" s="434"/>
      <c r="T35" s="435"/>
      <c r="U35" s="436"/>
      <c r="V35" s="444">
        <f ca="1">SUM(W35:Y40)</f>
        <v>8</v>
      </c>
      <c r="W35" s="444">
        <f ca="1">COUNTIF($G35:$U40,"○")</f>
        <v>5</v>
      </c>
      <c r="X35" s="444">
        <f ca="1">COUNTIF($G35:$U40,"△")</f>
        <v>0</v>
      </c>
      <c r="Y35" s="444">
        <f ca="1">COUNTIF($G35:$U40,"●")</f>
        <v>3</v>
      </c>
      <c r="Z35" s="444">
        <f t="shared" ref="Z35" ca="1" si="14">SUM(G37,J37,M37,P37,S37,G40,J40,M40,P40,S40)</f>
        <v>62</v>
      </c>
      <c r="AA35" s="444">
        <f t="shared" ref="AA35" ca="1" si="15">SUM(I37,L37,O37,R37,U37,I40,L40,O40,R40,U40)</f>
        <v>45</v>
      </c>
      <c r="AB35" s="444">
        <f ca="1">Z35-AA35</f>
        <v>17</v>
      </c>
      <c r="AC35" s="445">
        <f ca="1">W35*3+X35*1</f>
        <v>15</v>
      </c>
      <c r="AD35" s="475">
        <f t="shared" ref="AD35" ca="1" si="16">IF($A$9&lt;1,"",RANK(AS35,$AS$11:$AT$40,0))</f>
        <v>2</v>
      </c>
      <c r="AE35" s="512" t="str">
        <f>A35</f>
        <v>PURE</v>
      </c>
      <c r="AF35" s="512"/>
      <c r="AG35" s="512"/>
      <c r="AH35" s="512"/>
      <c r="AI35" s="512"/>
      <c r="AJ35" s="512"/>
      <c r="AK35" s="512"/>
      <c r="AL35" s="484">
        <f t="shared" ref="AL35" si="17">IF($A$9&lt;1,"",CB35)</f>
        <v>1</v>
      </c>
      <c r="AS35" s="460">
        <f ca="1">AC35*100+AB35+Z35/100</f>
        <v>1517.62</v>
      </c>
      <c r="AT35" s="460"/>
      <c r="AZ35" s="89" t="s">
        <v>36</v>
      </c>
      <c r="BA35" s="83" t="str">
        <f>IF('対戦表 (HP用)'!BA35="","",'対戦表 (HP用)'!BA35)</f>
        <v/>
      </c>
      <c r="BB35" s="83">
        <f>IF('対戦表 (HP用)'!BB35="","",'対戦表 (HP用)'!BB35)</f>
        <v>2</v>
      </c>
      <c r="BC35" s="83">
        <f>IF('対戦表 (HP用)'!BC35="","",'対戦表 (HP用)'!BC35)</f>
        <v>1</v>
      </c>
      <c r="BD35" s="83">
        <f>IF('対戦表 (HP用)'!BD35="","",'対戦表 (HP用)'!BD35)</f>
        <v>0</v>
      </c>
      <c r="BE35" s="83">
        <f>IF('対戦表 (HP用)'!BE35="","",'対戦表 (HP用)'!BE35)</f>
        <v>0</v>
      </c>
      <c r="BF35" s="83" t="str">
        <f>IF('対戦表 (HP用)'!BF35="","",'対戦表 (HP用)'!BF35)</f>
        <v/>
      </c>
      <c r="BG35" s="83">
        <f>IF('対戦表 (HP用)'!BG35="","",'対戦表 (HP用)'!BG35)</f>
        <v>1</v>
      </c>
      <c r="BH35" s="83">
        <f>IF('対戦表 (HP用)'!BH35="","",'対戦表 (HP用)'!BH35)</f>
        <v>1</v>
      </c>
      <c r="BI35" s="83">
        <f>IF('対戦表 (HP用)'!BI35="","",'対戦表 (HP用)'!BI35)</f>
        <v>1</v>
      </c>
      <c r="BJ35" s="83">
        <f>IF('対戦表 (HP用)'!BJ35="","",'対戦表 (HP用)'!BJ35)</f>
        <v>0</v>
      </c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90">
        <f t="shared" si="5"/>
        <v>6</v>
      </c>
      <c r="BW35" s="90">
        <f>BV35*1</f>
        <v>6</v>
      </c>
      <c r="BX35" s="446">
        <f>SUM(BW35:BW37)</f>
        <v>6</v>
      </c>
      <c r="BY35" s="448"/>
      <c r="BZ35" s="448"/>
      <c r="CA35" s="446">
        <f>SUM(BX35:BZ37)</f>
        <v>6</v>
      </c>
      <c r="CB35" s="461">
        <f>RANK(CA35,$CA$11:$CA$37,1)</f>
        <v>1</v>
      </c>
    </row>
    <row r="36" spans="1:80" ht="15.95" customHeight="1" x14ac:dyDescent="0.15">
      <c r="A36" s="496"/>
      <c r="B36" s="497"/>
      <c r="C36" s="497"/>
      <c r="D36" s="497"/>
      <c r="E36" s="497"/>
      <c r="F36" s="498"/>
      <c r="G36" s="474"/>
      <c r="H36" s="471"/>
      <c r="I36" s="472"/>
      <c r="J36" s="474"/>
      <c r="K36" s="471"/>
      <c r="L36" s="472"/>
      <c r="M36" s="474"/>
      <c r="N36" s="471"/>
      <c r="O36" s="472"/>
      <c r="P36" s="474"/>
      <c r="Q36" s="471"/>
      <c r="R36" s="472"/>
      <c r="S36" s="434"/>
      <c r="T36" s="435"/>
      <c r="U36" s="436"/>
      <c r="V36" s="444"/>
      <c r="W36" s="444"/>
      <c r="X36" s="444"/>
      <c r="Y36" s="444"/>
      <c r="Z36" s="444"/>
      <c r="AA36" s="444"/>
      <c r="AB36" s="444"/>
      <c r="AC36" s="445"/>
      <c r="AD36" s="475"/>
      <c r="AE36" s="512"/>
      <c r="AF36" s="512"/>
      <c r="AG36" s="512"/>
      <c r="AH36" s="512"/>
      <c r="AI36" s="512"/>
      <c r="AJ36" s="512"/>
      <c r="AK36" s="512"/>
      <c r="AL36" s="484"/>
      <c r="AS36" s="460"/>
      <c r="AT36" s="460"/>
      <c r="AZ36" s="75" t="s">
        <v>37</v>
      </c>
      <c r="BA36" s="85" t="str">
        <f>IF('対戦表 (HP用)'!BA36="","",'対戦表 (HP用)'!BA36)</f>
        <v/>
      </c>
      <c r="BB36" s="85" t="str">
        <f>IF('対戦表 (HP用)'!BB36="","",'対戦表 (HP用)'!BB36)</f>
        <v/>
      </c>
      <c r="BC36" s="85" t="str">
        <f>IF('対戦表 (HP用)'!BC36="","",'対戦表 (HP用)'!BC36)</f>
        <v/>
      </c>
      <c r="BD36" s="85" t="str">
        <f>IF('対戦表 (HP用)'!BD36="","",'対戦表 (HP用)'!BD36)</f>
        <v/>
      </c>
      <c r="BE36" s="85" t="str">
        <f>IF('対戦表 (HP用)'!BE36="","",'対戦表 (HP用)'!BE36)</f>
        <v/>
      </c>
      <c r="BF36" s="85" t="str">
        <f>IF('対戦表 (HP用)'!BF36="","",'対戦表 (HP用)'!BF36)</f>
        <v/>
      </c>
      <c r="BG36" s="85" t="str">
        <f>IF('対戦表 (HP用)'!BG36="","",'対戦表 (HP用)'!BG36)</f>
        <v/>
      </c>
      <c r="BH36" s="85" t="str">
        <f>IF('対戦表 (HP用)'!BH36="","",'対戦表 (HP用)'!BH36)</f>
        <v/>
      </c>
      <c r="BI36" s="85" t="str">
        <f>IF('対戦表 (HP用)'!BI36="","",'対戦表 (HP用)'!BI36)</f>
        <v/>
      </c>
      <c r="BJ36" s="85" t="str">
        <f>IF('対戦表 (HP用)'!BJ36="","",'対戦表 (HP用)'!BJ36)</f>
        <v/>
      </c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7">
        <f t="shared" si="5"/>
        <v>0</v>
      </c>
      <c r="BW36" s="77">
        <f>BV36*5</f>
        <v>0</v>
      </c>
      <c r="BX36" s="440"/>
      <c r="BY36" s="441"/>
      <c r="BZ36" s="441"/>
      <c r="CA36" s="440"/>
      <c r="CB36" s="442"/>
    </row>
    <row r="37" spans="1:80" ht="15.95" customHeight="1" x14ac:dyDescent="0.15">
      <c r="A37" s="496"/>
      <c r="B37" s="497"/>
      <c r="C37" s="497"/>
      <c r="D37" s="497"/>
      <c r="E37" s="497"/>
      <c r="F37" s="498"/>
      <c r="G37" s="79">
        <f ca="1">$U$13</f>
        <v>11</v>
      </c>
      <c r="H37" s="79" t="s">
        <v>38</v>
      </c>
      <c r="I37" s="80">
        <f ca="1">$S$13</f>
        <v>3</v>
      </c>
      <c r="J37" s="78">
        <f ca="1">$U$19</f>
        <v>3</v>
      </c>
      <c r="K37" s="79" t="s">
        <v>67</v>
      </c>
      <c r="L37" s="80">
        <f ca="1">$S$19</f>
        <v>2</v>
      </c>
      <c r="M37" s="78">
        <f ca="1">$U$25</f>
        <v>1</v>
      </c>
      <c r="N37" s="79" t="s">
        <v>67</v>
      </c>
      <c r="O37" s="80">
        <f ca="1">$S$25</f>
        <v>8</v>
      </c>
      <c r="P37" s="78">
        <f ca="1">$U$31</f>
        <v>11</v>
      </c>
      <c r="Q37" s="79" t="s">
        <v>67</v>
      </c>
      <c r="R37" s="80">
        <f ca="1">$S$31</f>
        <v>8</v>
      </c>
      <c r="S37" s="437"/>
      <c r="T37" s="438"/>
      <c r="U37" s="439"/>
      <c r="V37" s="444"/>
      <c r="W37" s="444"/>
      <c r="X37" s="444"/>
      <c r="Y37" s="444"/>
      <c r="Z37" s="444"/>
      <c r="AA37" s="444"/>
      <c r="AB37" s="444"/>
      <c r="AC37" s="445"/>
      <c r="AD37" s="475"/>
      <c r="AE37" s="512"/>
      <c r="AF37" s="512"/>
      <c r="AG37" s="512"/>
      <c r="AH37" s="512"/>
      <c r="AI37" s="512"/>
      <c r="AJ37" s="512"/>
      <c r="AK37" s="512"/>
      <c r="AL37" s="484"/>
      <c r="AS37" s="460"/>
      <c r="AT37" s="460"/>
      <c r="AZ37" s="91" t="s">
        <v>39</v>
      </c>
      <c r="BA37" s="88" t="str">
        <f>IF('対戦表 (HP用)'!BA37="","",'対戦表 (HP用)'!BA37)</f>
        <v/>
      </c>
      <c r="BB37" s="88" t="str">
        <f>IF('対戦表 (HP用)'!BB37="","",'対戦表 (HP用)'!BB37)</f>
        <v/>
      </c>
      <c r="BC37" s="88" t="str">
        <f>IF('対戦表 (HP用)'!BC37="","",'対戦表 (HP用)'!BC37)</f>
        <v/>
      </c>
      <c r="BD37" s="88" t="str">
        <f>IF('対戦表 (HP用)'!BD37="","",'対戦表 (HP用)'!BD37)</f>
        <v/>
      </c>
      <c r="BE37" s="88" t="str">
        <f>IF('対戦表 (HP用)'!BE37="","",'対戦表 (HP用)'!BE37)</f>
        <v/>
      </c>
      <c r="BF37" s="88" t="str">
        <f>IF('対戦表 (HP用)'!BF37="","",'対戦表 (HP用)'!BF37)</f>
        <v/>
      </c>
      <c r="BG37" s="88" t="str">
        <f>IF('対戦表 (HP用)'!BG37="","",'対戦表 (HP用)'!BG37)</f>
        <v/>
      </c>
      <c r="BH37" s="88" t="str">
        <f>IF('対戦表 (HP用)'!BH37="","",'対戦表 (HP用)'!BH37)</f>
        <v/>
      </c>
      <c r="BI37" s="88" t="str">
        <f>IF('対戦表 (HP用)'!BI37="","",'対戦表 (HP用)'!BI37)</f>
        <v/>
      </c>
      <c r="BJ37" s="88" t="str">
        <f>IF('対戦表 (HP用)'!BJ37="","",'対戦表 (HP用)'!BJ37)</f>
        <v/>
      </c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92">
        <f t="shared" si="5"/>
        <v>0</v>
      </c>
      <c r="BW37" s="92">
        <f>BV37*10</f>
        <v>0</v>
      </c>
      <c r="BX37" s="447"/>
      <c r="BY37" s="449"/>
      <c r="BZ37" s="449"/>
      <c r="CA37" s="447"/>
      <c r="CB37" s="462"/>
    </row>
    <row r="38" spans="1:80" ht="15.95" customHeight="1" x14ac:dyDescent="0.15">
      <c r="A38" s="496"/>
      <c r="B38" s="497"/>
      <c r="C38" s="497"/>
      <c r="D38" s="497"/>
      <c r="E38" s="497"/>
      <c r="F38" s="498"/>
      <c r="G38" s="474" t="str">
        <f ca="1">IF($A$9&lt;'5チーム2回戦総当たり結果記入用'!$AM$127,"",IF(G40="","",IF(G40&gt;I40,"○",IF(G40=I40,"△","●"))))</f>
        <v>○</v>
      </c>
      <c r="H38" s="471"/>
      <c r="I38" s="472"/>
      <c r="J38" s="473" t="str">
        <f ca="1">IF($A$9&lt;'5チーム2回戦総当たり結果記入用'!$AM$141,"",IF(J40="","",IF(J40&gt;L40,"○",IF(J40=L40,"△","●"))))</f>
        <v>●</v>
      </c>
      <c r="K38" s="468"/>
      <c r="L38" s="469"/>
      <c r="M38" s="473" t="str">
        <f ca="1">IF($A$9&lt;'5チーム2回戦総当たり結果記入用'!$AM$154,"",IF(M40="","",IF(M40&gt;O40,"○",IF(M40=O40,"△","●"))))</f>
        <v>●</v>
      </c>
      <c r="N38" s="468"/>
      <c r="O38" s="469"/>
      <c r="P38" s="473" t="str">
        <f ca="1">IF($A$9&lt;'5チーム2回戦総当たり結果記入用'!$AM$166,"",IF(P40="","",IF(P40&gt;R40,"○",IF(P40=R40,"△","●"))))</f>
        <v>○</v>
      </c>
      <c r="Q38" s="468"/>
      <c r="R38" s="469"/>
      <c r="S38" s="431"/>
      <c r="T38" s="432"/>
      <c r="U38" s="433"/>
      <c r="V38" s="444"/>
      <c r="W38" s="444"/>
      <c r="X38" s="444"/>
      <c r="Y38" s="444"/>
      <c r="Z38" s="444"/>
      <c r="AA38" s="444"/>
      <c r="AB38" s="444"/>
      <c r="AC38" s="445"/>
      <c r="AD38" s="475"/>
      <c r="AE38" s="512">
        <f>A38</f>
        <v>0</v>
      </c>
      <c r="AF38" s="512"/>
      <c r="AG38" s="512"/>
      <c r="AH38" s="512"/>
      <c r="AI38" s="512"/>
      <c r="AJ38" s="512"/>
      <c r="AK38" s="512"/>
      <c r="AL38" s="484"/>
      <c r="AS38" s="460"/>
      <c r="AT38" s="460"/>
      <c r="AZ38" s="81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3"/>
      <c r="BW38" s="83"/>
      <c r="BX38" s="413"/>
      <c r="BY38" s="448"/>
      <c r="BZ38" s="448"/>
      <c r="CA38" s="413"/>
      <c r="CB38" s="416"/>
    </row>
    <row r="39" spans="1:80" ht="15.95" customHeight="1" x14ac:dyDescent="0.15">
      <c r="A39" s="496"/>
      <c r="B39" s="497"/>
      <c r="C39" s="497"/>
      <c r="D39" s="497"/>
      <c r="E39" s="497"/>
      <c r="F39" s="498"/>
      <c r="G39" s="474"/>
      <c r="H39" s="471"/>
      <c r="I39" s="472"/>
      <c r="J39" s="474"/>
      <c r="K39" s="471"/>
      <c r="L39" s="472"/>
      <c r="M39" s="474"/>
      <c r="N39" s="471"/>
      <c r="O39" s="472"/>
      <c r="P39" s="474"/>
      <c r="Q39" s="471"/>
      <c r="R39" s="472"/>
      <c r="S39" s="434"/>
      <c r="T39" s="435"/>
      <c r="U39" s="436"/>
      <c r="V39" s="444"/>
      <c r="W39" s="444"/>
      <c r="X39" s="444"/>
      <c r="Y39" s="444"/>
      <c r="Z39" s="444"/>
      <c r="AA39" s="444"/>
      <c r="AB39" s="444"/>
      <c r="AC39" s="445"/>
      <c r="AD39" s="475"/>
      <c r="AE39" s="512"/>
      <c r="AF39" s="512"/>
      <c r="AG39" s="512"/>
      <c r="AH39" s="512"/>
      <c r="AI39" s="512"/>
      <c r="AJ39" s="512"/>
      <c r="AK39" s="512"/>
      <c r="AL39" s="484"/>
      <c r="AS39" s="460"/>
      <c r="AT39" s="460"/>
      <c r="AZ39" s="84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85"/>
      <c r="BW39" s="85"/>
      <c r="BX39" s="414"/>
      <c r="BY39" s="441"/>
      <c r="BZ39" s="441"/>
      <c r="CA39" s="414"/>
      <c r="CB39" s="417"/>
    </row>
    <row r="40" spans="1:80" ht="15.95" customHeight="1" x14ac:dyDescent="0.15">
      <c r="A40" s="499"/>
      <c r="B40" s="500"/>
      <c r="C40" s="500"/>
      <c r="D40" s="500"/>
      <c r="E40" s="500"/>
      <c r="F40" s="501"/>
      <c r="G40" s="79">
        <f ca="1">$U$16</f>
        <v>11</v>
      </c>
      <c r="H40" s="79" t="s">
        <v>38</v>
      </c>
      <c r="I40" s="80">
        <f ca="1">$S$16</f>
        <v>9</v>
      </c>
      <c r="J40" s="78">
        <f ca="1">$U$22</f>
        <v>4</v>
      </c>
      <c r="K40" s="79" t="s">
        <v>67</v>
      </c>
      <c r="L40" s="80">
        <f ca="1">$S$22</f>
        <v>6</v>
      </c>
      <c r="M40" s="78">
        <f ca="1">$U$28</f>
        <v>6</v>
      </c>
      <c r="N40" s="79" t="s">
        <v>67</v>
      </c>
      <c r="O40" s="80">
        <f ca="1">$S$28</f>
        <v>7</v>
      </c>
      <c r="P40" s="78">
        <f ca="1">$U$34</f>
        <v>15</v>
      </c>
      <c r="Q40" s="79" t="s">
        <v>67</v>
      </c>
      <c r="R40" s="80">
        <f ca="1">$S$34</f>
        <v>2</v>
      </c>
      <c r="S40" s="437"/>
      <c r="T40" s="438"/>
      <c r="U40" s="439"/>
      <c r="V40" s="466"/>
      <c r="W40" s="466"/>
      <c r="X40" s="466"/>
      <c r="Y40" s="466"/>
      <c r="Z40" s="466"/>
      <c r="AA40" s="466"/>
      <c r="AB40" s="466"/>
      <c r="AC40" s="445"/>
      <c r="AD40" s="475"/>
      <c r="AE40" s="512"/>
      <c r="AF40" s="512"/>
      <c r="AG40" s="512"/>
      <c r="AH40" s="512"/>
      <c r="AI40" s="512"/>
      <c r="AJ40" s="512"/>
      <c r="AK40" s="512"/>
      <c r="AL40" s="484"/>
      <c r="AS40" s="460"/>
      <c r="AT40" s="460"/>
      <c r="AZ40" s="86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415"/>
      <c r="BY40" s="449"/>
      <c r="BZ40" s="449"/>
      <c r="CA40" s="415"/>
      <c r="CB40" s="418"/>
    </row>
  </sheetData>
  <sheetProtection algorithmName="SHA-512" hashValue="lGwofzSj3jxHbtxqyT6o0Npj3nop3acfAKWlrE8dMTiD3kDAVXdcSSDbhMRI+y5QSBJzYrVeZRpkaEZ//nwCjg==" saltValue="AxG30sOma3/f2FoUeG5e9g==" spinCount="100000" sheet="1" objects="1" scenarios="1" formatCells="0"/>
  <mergeCells count="194">
    <mergeCell ref="BZ38:BZ40"/>
    <mergeCell ref="CA38:CA40"/>
    <mergeCell ref="CB38:CB40"/>
    <mergeCell ref="BX32:BX34"/>
    <mergeCell ref="BY32:BY34"/>
    <mergeCell ref="BZ32:BZ34"/>
    <mergeCell ref="CA32:CA34"/>
    <mergeCell ref="CB32:CB34"/>
    <mergeCell ref="BX38:BX40"/>
    <mergeCell ref="CB35:CB37"/>
    <mergeCell ref="BX35:BX37"/>
    <mergeCell ref="BY35:BY37"/>
    <mergeCell ref="CA35:CA37"/>
    <mergeCell ref="BZ35:BZ37"/>
    <mergeCell ref="BY23:BY25"/>
    <mergeCell ref="AE35:AK40"/>
    <mergeCell ref="AL35:AL40"/>
    <mergeCell ref="G38:I39"/>
    <mergeCell ref="J38:L39"/>
    <mergeCell ref="M38:O39"/>
    <mergeCell ref="P38:R39"/>
    <mergeCell ref="S38:U40"/>
    <mergeCell ref="AS35:AT37"/>
    <mergeCell ref="BX26:BX28"/>
    <mergeCell ref="AC29:AC34"/>
    <mergeCell ref="AD29:AD34"/>
    <mergeCell ref="AE29:AK34"/>
    <mergeCell ref="AL29:AL34"/>
    <mergeCell ref="AS38:AT40"/>
    <mergeCell ref="Z35:Z40"/>
    <mergeCell ref="AA35:AA40"/>
    <mergeCell ref="AB35:AB40"/>
    <mergeCell ref="AC35:AC40"/>
    <mergeCell ref="AD35:AD40"/>
    <mergeCell ref="P29:R31"/>
    <mergeCell ref="BY38:BY40"/>
    <mergeCell ref="X23:X28"/>
    <mergeCell ref="Y23:Y28"/>
    <mergeCell ref="A2:G2"/>
    <mergeCell ref="AL4:AL10"/>
    <mergeCell ref="H2:Z2"/>
    <mergeCell ref="BY26:BY28"/>
    <mergeCell ref="BZ26:BZ28"/>
    <mergeCell ref="CA26:CA28"/>
    <mergeCell ref="CB26:CB28"/>
    <mergeCell ref="J32:L33"/>
    <mergeCell ref="M32:O33"/>
    <mergeCell ref="P32:R34"/>
    <mergeCell ref="S32:U33"/>
    <mergeCell ref="CA29:CA31"/>
    <mergeCell ref="CB29:CB31"/>
    <mergeCell ref="BX29:BX31"/>
    <mergeCell ref="BY29:BY31"/>
    <mergeCell ref="BZ29:BZ31"/>
    <mergeCell ref="AS29:AT31"/>
    <mergeCell ref="AS32:AT34"/>
    <mergeCell ref="AE23:AK28"/>
    <mergeCell ref="AL23:AL28"/>
    <mergeCell ref="W29:W34"/>
    <mergeCell ref="X29:X34"/>
    <mergeCell ref="Y29:Y34"/>
    <mergeCell ref="Z29:Z34"/>
    <mergeCell ref="P4:R10"/>
    <mergeCell ref="S11:U12"/>
    <mergeCell ref="V29:V34"/>
    <mergeCell ref="S17:U18"/>
    <mergeCell ref="P20:R21"/>
    <mergeCell ref="S23:U24"/>
    <mergeCell ref="A1:AL1"/>
    <mergeCell ref="M14:O15"/>
    <mergeCell ref="AC5:AD5"/>
    <mergeCell ref="AC6:AD6"/>
    <mergeCell ref="AC7:AD7"/>
    <mergeCell ref="AC9:AC10"/>
    <mergeCell ref="X9:X10"/>
    <mergeCell ref="AB9:AB10"/>
    <mergeCell ref="AD9:AD10"/>
    <mergeCell ref="AA9:AA10"/>
    <mergeCell ref="Y9:Y10"/>
    <mergeCell ref="V8:AD8"/>
    <mergeCell ref="AL11:AL16"/>
    <mergeCell ref="J4:L10"/>
    <mergeCell ref="S4:U10"/>
    <mergeCell ref="M11:O12"/>
    <mergeCell ref="G11:I13"/>
    <mergeCell ref="P11:R12"/>
    <mergeCell ref="G14:I16"/>
    <mergeCell ref="P35:R36"/>
    <mergeCell ref="S35:U37"/>
    <mergeCell ref="S29:U30"/>
    <mergeCell ref="P23:R24"/>
    <mergeCell ref="G26:I27"/>
    <mergeCell ref="J26:L27"/>
    <mergeCell ref="M26:O28"/>
    <mergeCell ref="P26:R27"/>
    <mergeCell ref="S26:U27"/>
    <mergeCell ref="P17:R18"/>
    <mergeCell ref="J20:L22"/>
    <mergeCell ref="M20:O21"/>
    <mergeCell ref="P14:R15"/>
    <mergeCell ref="S14:U15"/>
    <mergeCell ref="S20:U21"/>
    <mergeCell ref="V9:V10"/>
    <mergeCell ref="W9:W10"/>
    <mergeCell ref="Z9:Z10"/>
    <mergeCell ref="Y17:Y22"/>
    <mergeCell ref="W17:W22"/>
    <mergeCell ref="AE9:AK10"/>
    <mergeCell ref="AA17:AA22"/>
    <mergeCell ref="AB17:AB22"/>
    <mergeCell ref="AC17:AC22"/>
    <mergeCell ref="AD17:AD22"/>
    <mergeCell ref="AE17:AK22"/>
    <mergeCell ref="V11:V16"/>
    <mergeCell ref="W11:W16"/>
    <mergeCell ref="X11:X16"/>
    <mergeCell ref="Y11:Y16"/>
    <mergeCell ref="Z11:Z16"/>
    <mergeCell ref="CA23:CA25"/>
    <mergeCell ref="CB23:CB25"/>
    <mergeCell ref="CA11:CA13"/>
    <mergeCell ref="CB11:CB13"/>
    <mergeCell ref="BX17:BX19"/>
    <mergeCell ref="BY17:BY19"/>
    <mergeCell ref="BZ17:BZ19"/>
    <mergeCell ref="CA17:CA19"/>
    <mergeCell ref="CB17:CB19"/>
    <mergeCell ref="BX11:BX13"/>
    <mergeCell ref="BZ23:BZ25"/>
    <mergeCell ref="BY11:BY13"/>
    <mergeCell ref="BZ11:BZ13"/>
    <mergeCell ref="BX20:BX22"/>
    <mergeCell ref="BY20:BY22"/>
    <mergeCell ref="BZ20:BZ22"/>
    <mergeCell ref="CA20:CA22"/>
    <mergeCell ref="BX14:BX16"/>
    <mergeCell ref="BY14:BY16"/>
    <mergeCell ref="BZ14:BZ16"/>
    <mergeCell ref="CA14:CA16"/>
    <mergeCell ref="CB14:CB16"/>
    <mergeCell ref="CB20:CB22"/>
    <mergeCell ref="BX23:BX25"/>
    <mergeCell ref="A9:F10"/>
    <mergeCell ref="M4:O10"/>
    <mergeCell ref="G35:I36"/>
    <mergeCell ref="J35:L36"/>
    <mergeCell ref="M35:O36"/>
    <mergeCell ref="M23:O25"/>
    <mergeCell ref="M17:O18"/>
    <mergeCell ref="G23:I24"/>
    <mergeCell ref="J23:L24"/>
    <mergeCell ref="G17:I18"/>
    <mergeCell ref="J17:L19"/>
    <mergeCell ref="G29:I30"/>
    <mergeCell ref="J29:L30"/>
    <mergeCell ref="M29:O30"/>
    <mergeCell ref="J14:L15"/>
    <mergeCell ref="G4:I10"/>
    <mergeCell ref="J11:L12"/>
    <mergeCell ref="A11:F16"/>
    <mergeCell ref="A17:F22"/>
    <mergeCell ref="A23:F28"/>
    <mergeCell ref="A29:F34"/>
    <mergeCell ref="A35:F40"/>
    <mergeCell ref="G32:I33"/>
    <mergeCell ref="G20:I21"/>
    <mergeCell ref="AS14:AT16"/>
    <mergeCell ref="AS26:AT28"/>
    <mergeCell ref="AA11:AA16"/>
    <mergeCell ref="AB11:AB16"/>
    <mergeCell ref="AC11:AC16"/>
    <mergeCell ref="AD11:AD16"/>
    <mergeCell ref="AE11:AK16"/>
    <mergeCell ref="AS11:AT13"/>
    <mergeCell ref="Z17:Z22"/>
    <mergeCell ref="AL17:AL22"/>
    <mergeCell ref="V35:V40"/>
    <mergeCell ref="W35:W40"/>
    <mergeCell ref="X35:X40"/>
    <mergeCell ref="Y35:Y40"/>
    <mergeCell ref="V17:V22"/>
    <mergeCell ref="X17:X22"/>
    <mergeCell ref="AS17:AT19"/>
    <mergeCell ref="AS23:AT25"/>
    <mergeCell ref="V23:V28"/>
    <mergeCell ref="W23:W28"/>
    <mergeCell ref="AA29:AA34"/>
    <mergeCell ref="AB29:AB34"/>
    <mergeCell ref="AS20:AT22"/>
    <mergeCell ref="Z23:Z28"/>
    <mergeCell ref="AA23:AA28"/>
    <mergeCell ref="AB23:AB28"/>
    <mergeCell ref="AC23:AC28"/>
    <mergeCell ref="AD23:AD28"/>
  </mergeCells>
  <phoneticPr fontId="19"/>
  <printOptions horizontalCentered="1"/>
  <pageMargins left="0.39370078740157483" right="0.39370078740157483" top="0.39370078740157483" bottom="0" header="0.51181102362204722" footer="0.51181102362204722"/>
  <pageSetup paperSize="9" scale="84" orientation="landscape" r:id="rId1"/>
  <headerFooter alignWithMargins="0"/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43"/>
  <sheetViews>
    <sheetView topLeftCell="A22" zoomScaleNormal="100" workbookViewId="0">
      <selection activeCell="I244" sqref="I244"/>
    </sheetView>
  </sheetViews>
  <sheetFormatPr defaultColWidth="6.85546875" defaultRowHeight="14.25" customHeight="1" x14ac:dyDescent="0.15"/>
  <cols>
    <col min="1" max="1" width="6.7109375" style="10" customWidth="1"/>
    <col min="2" max="2" width="7.7109375" style="12" customWidth="1"/>
    <col min="3" max="4" width="4.7109375" style="12" customWidth="1"/>
    <col min="5" max="5" width="17.7109375" style="12" customWidth="1"/>
    <col min="6" max="6" width="4.7109375" style="12" customWidth="1"/>
    <col min="7" max="7" width="2.7109375" style="12" customWidth="1"/>
    <col min="8" max="8" width="4.7109375" style="12" customWidth="1"/>
    <col min="9" max="9" width="17.7109375" style="12" customWidth="1"/>
    <col min="10" max="10" width="4.7109375" style="12" customWidth="1"/>
    <col min="11" max="11" width="12.7109375" style="13" customWidth="1"/>
    <col min="12" max="12" width="12.7109375" style="12" customWidth="1"/>
    <col min="13" max="13" width="7.7109375" style="94" bestFit="1" customWidth="1"/>
    <col min="14" max="14" width="20.5703125" style="94" hidden="1" customWidth="1"/>
    <col min="15" max="15" width="0" style="9" hidden="1" customWidth="1"/>
    <col min="16" max="31" width="4.7109375" style="9" hidden="1" customWidth="1"/>
    <col min="32" max="32" width="4.7109375" style="9" customWidth="1"/>
    <col min="33" max="38" width="6.85546875" style="9"/>
    <col min="39" max="39" width="7.5703125" style="152" bestFit="1" customWidth="1"/>
    <col min="40" max="16384" width="6.85546875" style="9"/>
  </cols>
  <sheetData>
    <row r="1" spans="1:39" s="147" customFormat="1" ht="20.100000000000001" customHeight="1" x14ac:dyDescent="0.15">
      <c r="A1" s="147" t="str">
        <f>"★"&amp;'5チーム2回戦総当たりスケジュール作業表'!$C$1&amp;"リーグ"</f>
        <v>★木曜リーグ</v>
      </c>
      <c r="B1" s="148"/>
      <c r="C1" s="148"/>
      <c r="D1" s="148"/>
      <c r="E1" s="525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F1" s="525"/>
      <c r="G1" s="525"/>
      <c r="H1" s="525"/>
      <c r="I1" s="525"/>
      <c r="J1" s="149"/>
      <c r="K1" s="523" t="str">
        <f>'5チーム2回戦総当たりスケジュール作業表'!$K$1</f>
        <v>Thursday League</v>
      </c>
      <c r="L1" s="524"/>
      <c r="M1" s="150"/>
      <c r="N1" s="150"/>
      <c r="AM1" s="151"/>
    </row>
    <row r="2" spans="1:39" ht="6.75" customHeight="1" thickBot="1" x14ac:dyDescent="0.2">
      <c r="A2" s="526"/>
      <c r="B2" s="526"/>
      <c r="C2" s="526"/>
      <c r="D2" s="526"/>
      <c r="E2" s="526"/>
      <c r="F2" s="526"/>
      <c r="G2" s="526"/>
      <c r="H2" s="526"/>
      <c r="I2" s="526"/>
    </row>
    <row r="3" spans="1:39" ht="18" customHeight="1" thickBot="1" x14ac:dyDescent="0.2">
      <c r="A3" s="527" t="str">
        <f>'5チーム2回戦総当たりスケジュール作業表'!$G$1</f>
        <v>4th. Stage</v>
      </c>
      <c r="B3" s="528"/>
      <c r="C3" s="528"/>
      <c r="D3" s="153" t="s">
        <v>68</v>
      </c>
      <c r="E3" s="529" t="s">
        <v>57</v>
      </c>
      <c r="F3" s="529"/>
      <c r="G3" s="529"/>
      <c r="H3" s="529"/>
      <c r="I3" s="529"/>
      <c r="J3" s="154"/>
      <c r="K3" s="521" t="s">
        <v>69</v>
      </c>
      <c r="L3" s="522"/>
      <c r="M3" s="155"/>
      <c r="N3" s="9"/>
      <c r="O3" s="156"/>
      <c r="P3" s="157" t="s">
        <v>41</v>
      </c>
      <c r="Q3" s="158" t="s">
        <v>42</v>
      </c>
      <c r="R3" s="158" t="s">
        <v>43</v>
      </c>
      <c r="S3" s="158" t="s">
        <v>44</v>
      </c>
      <c r="T3" s="158" t="s">
        <v>45</v>
      </c>
      <c r="U3" s="158" t="s">
        <v>46</v>
      </c>
      <c r="V3" s="158" t="s">
        <v>47</v>
      </c>
      <c r="W3" s="158" t="s">
        <v>48</v>
      </c>
      <c r="X3" s="158" t="s">
        <v>49</v>
      </c>
      <c r="Y3" s="158" t="s">
        <v>50</v>
      </c>
      <c r="Z3" s="158" t="s">
        <v>51</v>
      </c>
      <c r="AA3" s="158" t="s">
        <v>52</v>
      </c>
      <c r="AB3" s="158" t="s">
        <v>76</v>
      </c>
      <c r="AC3" s="159" t="s">
        <v>77</v>
      </c>
      <c r="AD3" s="158" t="s">
        <v>78</v>
      </c>
      <c r="AE3" s="160" t="s">
        <v>79</v>
      </c>
      <c r="AG3" s="161"/>
      <c r="AH3" s="162" t="s">
        <v>68</v>
      </c>
      <c r="AI3" s="162" t="s">
        <v>70</v>
      </c>
      <c r="AJ3" s="162"/>
      <c r="AK3" s="163" t="s">
        <v>80</v>
      </c>
      <c r="AL3" s="163"/>
      <c r="AM3" s="164" t="s">
        <v>71</v>
      </c>
    </row>
    <row r="4" spans="1:39" ht="18" customHeight="1" thickTop="1" x14ac:dyDescent="0.15">
      <c r="A4" s="165">
        <v>1</v>
      </c>
      <c r="B4" s="166">
        <f>'5チーム2回戦総当たりスケジュール作業表'!$B$6</f>
        <v>45190</v>
      </c>
      <c r="C4" s="167" t="str">
        <f>'5チーム2回戦総当たりスケジュール作業表'!$P$1</f>
        <v>西</v>
      </c>
      <c r="D4" s="168">
        <f ca="1">VLOOKUP(J4,$AG$4:$AM$243,2,0)</f>
        <v>1</v>
      </c>
      <c r="E4" s="169" t="str">
        <f ca="1">OFFSET('5チーム2回戦総当たりスケジュール作業表'!$B$5,1,1)</f>
        <v>T-25</v>
      </c>
      <c r="F4" s="170">
        <v>3</v>
      </c>
      <c r="G4" s="171" t="s">
        <v>0</v>
      </c>
      <c r="H4" s="172">
        <v>4</v>
      </c>
      <c r="I4" s="169" t="str">
        <f ca="1">OFFSET('5チーム2回戦総当たりスケジュール作業表'!$B$5,1,2)</f>
        <v>Etelia</v>
      </c>
      <c r="J4" s="173" t="str">
        <f t="shared" ref="J4:J35" ca="1" si="0">E4&amp;I4</f>
        <v>T-25Etelia</v>
      </c>
      <c r="K4" s="174">
        <f ca="1">IF(I9=0,OFFSET('5チーム2回戦総当たりスケジュール作業表'!$B$5,1,11),0)</f>
        <v>0</v>
      </c>
      <c r="L4" s="175">
        <f ca="1">OFFSET('5チーム2回戦総当たりスケジュール作業表'!$B$5,1,12)</f>
        <v>0</v>
      </c>
      <c r="M4" s="176">
        <f t="shared" ref="M4:M35" si="1">A4</f>
        <v>1</v>
      </c>
      <c r="N4" s="9"/>
      <c r="O4" s="177" t="s">
        <v>81</v>
      </c>
      <c r="P4" s="178"/>
      <c r="Q4" s="179">
        <v>1</v>
      </c>
      <c r="R4" s="179">
        <v>2</v>
      </c>
      <c r="S4" s="179">
        <v>3</v>
      </c>
      <c r="T4" s="179">
        <v>4</v>
      </c>
      <c r="U4" s="179">
        <v>5</v>
      </c>
      <c r="V4" s="179">
        <v>6</v>
      </c>
      <c r="W4" s="179">
        <v>7</v>
      </c>
      <c r="X4" s="179">
        <v>8</v>
      </c>
      <c r="Y4" s="179">
        <v>9</v>
      </c>
      <c r="Z4" s="179">
        <v>10</v>
      </c>
      <c r="AA4" s="179">
        <v>11</v>
      </c>
      <c r="AB4" s="179">
        <v>12</v>
      </c>
      <c r="AC4" s="179">
        <v>13</v>
      </c>
      <c r="AD4" s="179">
        <v>14</v>
      </c>
      <c r="AE4" s="180">
        <v>15</v>
      </c>
      <c r="AG4" s="181" t="str">
        <f t="shared" ref="AG4:AG35" si="2">AI4&amp;AJ4</f>
        <v>T-25Etelia</v>
      </c>
      <c r="AH4" s="9">
        <v>1</v>
      </c>
      <c r="AI4" s="9" t="str">
        <f>'5チーム2回戦総当たりスケジュール作業表'!$X$6</f>
        <v>T-25</v>
      </c>
      <c r="AJ4" s="9" t="str">
        <f>'5チーム2回戦総当たりスケジュール作業表'!$X$7</f>
        <v>Etelia</v>
      </c>
      <c r="AK4" s="9">
        <f ca="1">IF(VLOOKUP($AH4,$D$4:$J$123,3,0)="","",VLOOKUP($AH4,$D$4:$J$123,3,0))</f>
        <v>3</v>
      </c>
      <c r="AL4" s="9">
        <f ca="1">IF(VLOOKUP($AH4,$D$4:$J$123,5,0)="","",VLOOKUP($AH4,$D$4:$J$123,5,0))</f>
        <v>4</v>
      </c>
      <c r="AM4" s="182">
        <f t="shared" ref="AM4:AM35" ca="1" si="3">VLOOKUP(AH4,$D$4:$M$123,10,0)</f>
        <v>1</v>
      </c>
    </row>
    <row r="5" spans="1:39" ht="18" hidden="1" customHeight="1" x14ac:dyDescent="0.15">
      <c r="A5" s="183">
        <v>1</v>
      </c>
      <c r="B5" s="184">
        <f>'5チーム2回戦総当たりスケジュール作業表'!$B$6</f>
        <v>45190</v>
      </c>
      <c r="C5" s="185" t="s">
        <v>7</v>
      </c>
      <c r="D5" s="186">
        <f t="shared" ref="D5:D68" ca="1" si="4">VLOOKUP(J5,$AG$4:$AM$243,2,0)</f>
        <v>66</v>
      </c>
      <c r="E5" s="187">
        <f ca="1">OFFSET('5チーム2回戦総当たりスケジュール作業表'!$B$5,1,3)</f>
        <v>0</v>
      </c>
      <c r="F5" s="188"/>
      <c r="G5" s="189" t="s">
        <v>0</v>
      </c>
      <c r="H5" s="190"/>
      <c r="I5" s="187">
        <f ca="1">OFFSET('5チーム2回戦総当たりスケジュール作業表'!$B$5,1,4)</f>
        <v>0</v>
      </c>
      <c r="J5" s="191" t="str">
        <f t="shared" ca="1" si="0"/>
        <v>00</v>
      </c>
      <c r="K5" s="192">
        <f ca="1">OFFSET('5チーム2回戦総当たりスケジュール作業表'!$B$5,1,15)</f>
        <v>0</v>
      </c>
      <c r="L5" s="193">
        <f ca="1">OFFSET('5チーム2回戦総当たりスケジュール作業表'!$B$5,1,16)</f>
        <v>0</v>
      </c>
      <c r="M5" s="176">
        <f t="shared" si="1"/>
        <v>1</v>
      </c>
      <c r="N5" s="9"/>
      <c r="O5" s="194" t="s">
        <v>82</v>
      </c>
      <c r="P5" s="179">
        <v>1</v>
      </c>
      <c r="Q5" s="195"/>
      <c r="R5" s="196">
        <v>16</v>
      </c>
      <c r="S5" s="196">
        <v>17</v>
      </c>
      <c r="T5" s="196">
        <v>18</v>
      </c>
      <c r="U5" s="196">
        <v>19</v>
      </c>
      <c r="V5" s="196">
        <v>20</v>
      </c>
      <c r="W5" s="196">
        <v>21</v>
      </c>
      <c r="X5" s="196">
        <v>22</v>
      </c>
      <c r="Y5" s="196">
        <v>23</v>
      </c>
      <c r="Z5" s="196">
        <v>24</v>
      </c>
      <c r="AA5" s="196">
        <v>25</v>
      </c>
      <c r="AB5" s="196">
        <v>26</v>
      </c>
      <c r="AC5" s="196">
        <v>27</v>
      </c>
      <c r="AD5" s="196">
        <v>28</v>
      </c>
      <c r="AE5" s="197">
        <v>29</v>
      </c>
      <c r="AG5" s="181" t="str">
        <f t="shared" si="2"/>
        <v>T-25うなぎ</v>
      </c>
      <c r="AH5" s="9">
        <v>2</v>
      </c>
      <c r="AI5" s="9" t="str">
        <f>'5チーム2回戦総当たりスケジュール作業表'!$X$6</f>
        <v>T-25</v>
      </c>
      <c r="AJ5" s="9" t="str">
        <f>'5チーム2回戦総当たりスケジュール作業表'!$X$8</f>
        <v>うなぎ</v>
      </c>
      <c r="AK5" s="9">
        <f t="shared" ref="AK5:AK68" ca="1" si="5">IF(VLOOKUP($AH5,$D$4:$J$123,3,0)="","",VLOOKUP($AH5,$D$4:$J$123,3,0))</f>
        <v>3</v>
      </c>
      <c r="AL5" s="9">
        <f t="shared" ref="AL5:AL68" ca="1" si="6">IF(VLOOKUP($AH5,$D$4:$J$123,5,0)="","",VLOOKUP($AH5,$D$4:$J$123,5,0))</f>
        <v>9</v>
      </c>
      <c r="AM5" s="198">
        <f t="shared" ca="1" si="3"/>
        <v>9</v>
      </c>
    </row>
    <row r="6" spans="1:39" ht="18" customHeight="1" x14ac:dyDescent="0.15">
      <c r="A6" s="165">
        <v>1</v>
      </c>
      <c r="B6" s="166">
        <f>'5チーム2回戦総当たりスケジュール作業表'!$B$6</f>
        <v>45190</v>
      </c>
      <c r="C6" s="167" t="str">
        <f>'5チーム2回戦総当たりスケジュール作業表'!$P$1</f>
        <v>西</v>
      </c>
      <c r="D6" s="168">
        <f t="shared" ca="1" si="4"/>
        <v>30</v>
      </c>
      <c r="E6" s="169" t="str">
        <f ca="1">OFFSET('5チーム2回戦総当たりスケジュール作業表'!$B$5,1,5)</f>
        <v>うなぎ</v>
      </c>
      <c r="F6" s="170">
        <v>6</v>
      </c>
      <c r="G6" s="171" t="s">
        <v>0</v>
      </c>
      <c r="H6" s="172">
        <v>7</v>
      </c>
      <c r="I6" s="169" t="str">
        <f ca="1">OFFSET('5チーム2回戦総当たりスケジュール作業表'!$B$5,1,6)</f>
        <v>飛杉田新地</v>
      </c>
      <c r="J6" s="173" t="str">
        <f t="shared" ca="1" si="0"/>
        <v>うなぎ飛杉田新地</v>
      </c>
      <c r="K6" s="192">
        <f ca="1">OFFSET('5チーム2回戦総当たりスケジュール作業表'!$B$5,1,17)</f>
        <v>0</v>
      </c>
      <c r="L6" s="193">
        <f ca="1">OFFSET('5チーム2回戦総当たりスケジュール作業表'!$B$5,1,18)</f>
        <v>0</v>
      </c>
      <c r="M6" s="176">
        <f t="shared" si="1"/>
        <v>1</v>
      </c>
      <c r="N6" s="9"/>
      <c r="O6" s="194" t="s">
        <v>83</v>
      </c>
      <c r="P6" s="179">
        <v>2</v>
      </c>
      <c r="Q6" s="196">
        <v>16</v>
      </c>
      <c r="R6" s="195"/>
      <c r="S6" s="196">
        <v>30</v>
      </c>
      <c r="T6" s="196">
        <v>31</v>
      </c>
      <c r="U6" s="196">
        <v>32</v>
      </c>
      <c r="V6" s="196">
        <v>33</v>
      </c>
      <c r="W6" s="196">
        <v>34</v>
      </c>
      <c r="X6" s="196">
        <v>35</v>
      </c>
      <c r="Y6" s="196">
        <v>36</v>
      </c>
      <c r="Z6" s="196">
        <v>37</v>
      </c>
      <c r="AA6" s="196">
        <v>38</v>
      </c>
      <c r="AB6" s="196">
        <v>39</v>
      </c>
      <c r="AC6" s="196">
        <v>40</v>
      </c>
      <c r="AD6" s="196">
        <v>41</v>
      </c>
      <c r="AE6" s="197">
        <v>42</v>
      </c>
      <c r="AG6" s="181" t="str">
        <f t="shared" si="2"/>
        <v>T-25飛杉田新地</v>
      </c>
      <c r="AH6" s="9">
        <v>3</v>
      </c>
      <c r="AI6" s="9" t="str">
        <f>'5チーム2回戦総当たりスケジュール作業表'!$X$6</f>
        <v>T-25</v>
      </c>
      <c r="AJ6" s="9" t="str">
        <f>'5チーム2回戦総当たりスケジュール作業表'!$X$9</f>
        <v>飛杉田新地</v>
      </c>
      <c r="AK6" s="9">
        <f t="shared" ca="1" si="5"/>
        <v>7</v>
      </c>
      <c r="AL6" s="9">
        <f t="shared" ca="1" si="6"/>
        <v>12</v>
      </c>
      <c r="AM6" s="198">
        <f t="shared" ca="1" si="3"/>
        <v>3</v>
      </c>
    </row>
    <row r="7" spans="1:39" ht="18" hidden="1" customHeight="1" x14ac:dyDescent="0.15">
      <c r="A7" s="183">
        <v>1</v>
      </c>
      <c r="B7" s="184">
        <f>'5チーム2回戦総当たりスケジュール作業表'!$B$6</f>
        <v>45190</v>
      </c>
      <c r="C7" s="185" t="str">
        <f>'5チーム2回戦総当たりスケジュール作業表'!$P$1</f>
        <v>西</v>
      </c>
      <c r="D7" s="186">
        <f t="shared" ca="1" si="4"/>
        <v>66</v>
      </c>
      <c r="E7" s="187">
        <f ca="1">OFFSET('5チーム2回戦総当たりスケジュール作業表'!$B$5,1,7)</f>
        <v>0</v>
      </c>
      <c r="F7" s="188"/>
      <c r="G7" s="189" t="s">
        <v>0</v>
      </c>
      <c r="H7" s="190"/>
      <c r="I7" s="187">
        <f ca="1">OFFSET('5チーム2回戦総当たりスケジュール作業表'!$B$5,1,8)</f>
        <v>0</v>
      </c>
      <c r="J7" s="191" t="str">
        <f t="shared" ca="1" si="0"/>
        <v>00</v>
      </c>
      <c r="K7" s="192"/>
      <c r="L7" s="193"/>
      <c r="M7" s="176">
        <f t="shared" si="1"/>
        <v>1</v>
      </c>
      <c r="N7" s="9"/>
      <c r="O7" s="194" t="s">
        <v>84</v>
      </c>
      <c r="P7" s="179">
        <v>3</v>
      </c>
      <c r="Q7" s="196">
        <v>17</v>
      </c>
      <c r="R7" s="196">
        <v>30</v>
      </c>
      <c r="S7" s="195"/>
      <c r="T7" s="196">
        <v>43</v>
      </c>
      <c r="U7" s="196">
        <v>44</v>
      </c>
      <c r="V7" s="196">
        <v>45</v>
      </c>
      <c r="W7" s="196">
        <v>46</v>
      </c>
      <c r="X7" s="196">
        <v>47</v>
      </c>
      <c r="Y7" s="196">
        <v>48</v>
      </c>
      <c r="Z7" s="196">
        <v>49</v>
      </c>
      <c r="AA7" s="196">
        <v>50</v>
      </c>
      <c r="AB7" s="196">
        <v>51</v>
      </c>
      <c r="AC7" s="196">
        <v>52</v>
      </c>
      <c r="AD7" s="196">
        <v>53</v>
      </c>
      <c r="AE7" s="197">
        <v>54</v>
      </c>
      <c r="AG7" s="181" t="str">
        <f t="shared" si="2"/>
        <v>T-25PURE</v>
      </c>
      <c r="AH7" s="9">
        <v>4</v>
      </c>
      <c r="AI7" s="9" t="str">
        <f>'5チーム2回戦総当たりスケジュール作業表'!$X$6</f>
        <v>T-25</v>
      </c>
      <c r="AJ7" s="9" t="str">
        <f>'5チーム2回戦総当たりスケジュール作業表'!$X$10</f>
        <v>PURE</v>
      </c>
      <c r="AK7" s="9">
        <f t="shared" ca="1" si="5"/>
        <v>3</v>
      </c>
      <c r="AL7" s="9">
        <f t="shared" ca="1" si="6"/>
        <v>11</v>
      </c>
      <c r="AM7" s="198">
        <f t="shared" ca="1" si="3"/>
        <v>8</v>
      </c>
    </row>
    <row r="8" spans="1:39" ht="18" hidden="1" customHeight="1" x14ac:dyDescent="0.15">
      <c r="A8" s="165">
        <v>1</v>
      </c>
      <c r="B8" s="166">
        <f>'5チーム2回戦総当たりスケジュール作業表'!$B$6</f>
        <v>45190</v>
      </c>
      <c r="C8" s="167" t="str">
        <f>'5チーム2回戦総当たりスケジュール作業表'!$P$1</f>
        <v>西</v>
      </c>
      <c r="D8" s="168">
        <f t="shared" ca="1" si="4"/>
        <v>55</v>
      </c>
      <c r="E8" s="169" t="str">
        <f ca="1">OFFSET('5チーム2回戦総当たりスケジュール作業表'!$B$5,1,9)</f>
        <v>PURE</v>
      </c>
      <c r="F8" s="170"/>
      <c r="G8" s="171" t="s">
        <v>0</v>
      </c>
      <c r="H8" s="172"/>
      <c r="I8" s="169">
        <f ca="1">OFFSET('5チーム2回戦総当たりスケジュール作業表'!$B$5,1,10)</f>
        <v>0</v>
      </c>
      <c r="J8" s="173" t="str">
        <f t="shared" ca="1" si="0"/>
        <v>PURE0</v>
      </c>
      <c r="K8" s="192"/>
      <c r="L8" s="193"/>
      <c r="M8" s="176">
        <f t="shared" si="1"/>
        <v>1</v>
      </c>
      <c r="N8" s="9"/>
      <c r="O8" s="194" t="s">
        <v>85</v>
      </c>
      <c r="P8" s="179">
        <v>4</v>
      </c>
      <c r="Q8" s="196">
        <v>18</v>
      </c>
      <c r="R8" s="196">
        <v>31</v>
      </c>
      <c r="S8" s="196">
        <v>43</v>
      </c>
      <c r="T8" s="195"/>
      <c r="U8" s="196">
        <v>55</v>
      </c>
      <c r="V8" s="196">
        <v>56</v>
      </c>
      <c r="W8" s="196">
        <v>57</v>
      </c>
      <c r="X8" s="196">
        <v>58</v>
      </c>
      <c r="Y8" s="196">
        <v>59</v>
      </c>
      <c r="Z8" s="196">
        <v>60</v>
      </c>
      <c r="AA8" s="196">
        <v>61</v>
      </c>
      <c r="AB8" s="196">
        <v>62</v>
      </c>
      <c r="AC8" s="196">
        <v>63</v>
      </c>
      <c r="AD8" s="196">
        <v>64</v>
      </c>
      <c r="AE8" s="197">
        <v>65</v>
      </c>
      <c r="AG8" s="181" t="str">
        <f t="shared" si="2"/>
        <v>T-250</v>
      </c>
      <c r="AH8" s="9">
        <v>5</v>
      </c>
      <c r="AI8" s="9" t="str">
        <f>'5チーム2回戦総当たりスケジュール作業表'!$X$6</f>
        <v>T-25</v>
      </c>
      <c r="AJ8" s="9">
        <f>'5チーム2回戦総当たりスケジュール作業表'!$X$11</f>
        <v>0</v>
      </c>
      <c r="AK8" s="9" t="str">
        <f t="shared" ca="1" si="5"/>
        <v/>
      </c>
      <c r="AL8" s="9" t="str">
        <f t="shared" ca="1" si="6"/>
        <v/>
      </c>
      <c r="AM8" s="198">
        <f t="shared" ca="1" si="3"/>
        <v>5</v>
      </c>
    </row>
    <row r="9" spans="1:39" ht="18" hidden="1" customHeight="1" x14ac:dyDescent="0.15">
      <c r="A9" s="183">
        <v>1</v>
      </c>
      <c r="B9" s="184">
        <f>'5チーム2回戦総当たりスケジュール作業表'!$B$6</f>
        <v>45190</v>
      </c>
      <c r="C9" s="185" t="str">
        <f>'5チーム2回戦総当たりスケジュール作業表'!$P$1</f>
        <v>西</v>
      </c>
      <c r="D9" s="186">
        <f t="shared" ca="1" si="4"/>
        <v>66</v>
      </c>
      <c r="E9" s="187">
        <f ca="1">IF(I9=0,0,OFFSET('5チーム2回戦総当たりスケジュール作業表'!$B$5,1,11))</f>
        <v>0</v>
      </c>
      <c r="F9" s="188"/>
      <c r="G9" s="189" t="s">
        <v>0</v>
      </c>
      <c r="H9" s="190"/>
      <c r="I9" s="187">
        <f ca="1">OFFSET('5チーム2回戦総当たりスケジュール作業表'!$B$5,1,12)</f>
        <v>0</v>
      </c>
      <c r="J9" s="191" t="str">
        <f t="shared" ca="1" si="0"/>
        <v>00</v>
      </c>
      <c r="K9" s="192"/>
      <c r="L9" s="193"/>
      <c r="M9" s="176">
        <f t="shared" si="1"/>
        <v>1</v>
      </c>
      <c r="N9" s="9"/>
      <c r="O9" s="194" t="s">
        <v>86</v>
      </c>
      <c r="P9" s="179">
        <v>5</v>
      </c>
      <c r="Q9" s="196">
        <v>19</v>
      </c>
      <c r="R9" s="196">
        <v>32</v>
      </c>
      <c r="S9" s="196">
        <v>44</v>
      </c>
      <c r="T9" s="196">
        <v>55</v>
      </c>
      <c r="U9" s="195"/>
      <c r="V9" s="196">
        <v>66</v>
      </c>
      <c r="W9" s="196">
        <v>67</v>
      </c>
      <c r="X9" s="196">
        <v>68</v>
      </c>
      <c r="Y9" s="196">
        <v>69</v>
      </c>
      <c r="Z9" s="196">
        <v>70</v>
      </c>
      <c r="AA9" s="196">
        <v>71</v>
      </c>
      <c r="AB9" s="196">
        <v>72</v>
      </c>
      <c r="AC9" s="196">
        <v>73</v>
      </c>
      <c r="AD9" s="196">
        <v>74</v>
      </c>
      <c r="AE9" s="197">
        <v>75</v>
      </c>
      <c r="AG9" s="181" t="str">
        <f t="shared" si="2"/>
        <v>T-250</v>
      </c>
      <c r="AH9" s="9">
        <v>6</v>
      </c>
      <c r="AI9" s="9" t="str">
        <f>'5チーム2回戦総当たりスケジュール作業表'!$X$6</f>
        <v>T-25</v>
      </c>
      <c r="AJ9" s="9">
        <f>'5チーム2回戦総当たりスケジュール作業表'!$X$12</f>
        <v>0</v>
      </c>
      <c r="AK9" s="9" t="e">
        <f t="shared" ca="1" si="5"/>
        <v>#N/A</v>
      </c>
      <c r="AL9" s="9" t="e">
        <f t="shared" ca="1" si="6"/>
        <v>#N/A</v>
      </c>
      <c r="AM9" s="198" t="e">
        <f t="shared" ca="1" si="3"/>
        <v>#N/A</v>
      </c>
    </row>
    <row r="10" spans="1:39" ht="18" customHeight="1" x14ac:dyDescent="0.15">
      <c r="A10" s="199">
        <v>2</v>
      </c>
      <c r="B10" s="200">
        <f>'5チーム2回戦総当たりスケジュール作業表'!$B$7</f>
        <v>45197</v>
      </c>
      <c r="C10" s="201" t="str">
        <f>'5チーム2回戦総当たりスケジュール作業表'!$P$1</f>
        <v>西</v>
      </c>
      <c r="D10" s="202">
        <f t="shared" ca="1" si="4"/>
        <v>17</v>
      </c>
      <c r="E10" s="203" t="str">
        <f ca="1">OFFSET('5チーム2回戦総当たりスケジュール作業表'!$B$5,2,1)</f>
        <v>Etelia</v>
      </c>
      <c r="F10" s="204">
        <v>6</v>
      </c>
      <c r="G10" s="205" t="s">
        <v>0</v>
      </c>
      <c r="H10" s="206">
        <v>3</v>
      </c>
      <c r="I10" s="203" t="str">
        <f ca="1">OFFSET('5チーム2回戦総当たりスケジュール作業表'!$B$5,2,2)</f>
        <v>飛杉田新地</v>
      </c>
      <c r="J10" s="173" t="str">
        <f t="shared" ca="1" si="0"/>
        <v>Etelia飛杉田新地</v>
      </c>
      <c r="K10" s="207">
        <f ca="1">IF(I15=0,OFFSET('5チーム2回戦総当たりスケジュール作業表'!$B$5,2,11),0)</f>
        <v>0</v>
      </c>
      <c r="L10" s="208">
        <f ca="1">OFFSET('5チーム2回戦総当たりスケジュール作業表'!$B$5,2,12)</f>
        <v>0</v>
      </c>
      <c r="M10" s="209">
        <f t="shared" si="1"/>
        <v>2</v>
      </c>
      <c r="N10" s="9"/>
      <c r="O10" s="194" t="s">
        <v>87</v>
      </c>
      <c r="P10" s="179">
        <v>6</v>
      </c>
      <c r="Q10" s="196">
        <v>20</v>
      </c>
      <c r="R10" s="196">
        <v>33</v>
      </c>
      <c r="S10" s="196">
        <v>45</v>
      </c>
      <c r="T10" s="196">
        <v>56</v>
      </c>
      <c r="U10" s="196">
        <v>66</v>
      </c>
      <c r="V10" s="195"/>
      <c r="W10" s="196">
        <v>76</v>
      </c>
      <c r="X10" s="196">
        <v>77</v>
      </c>
      <c r="Y10" s="196">
        <v>78</v>
      </c>
      <c r="Z10" s="196">
        <v>79</v>
      </c>
      <c r="AA10" s="196">
        <v>80</v>
      </c>
      <c r="AB10" s="196">
        <v>81</v>
      </c>
      <c r="AC10" s="196">
        <v>82</v>
      </c>
      <c r="AD10" s="196">
        <v>83</v>
      </c>
      <c r="AE10" s="197">
        <v>84</v>
      </c>
      <c r="AG10" s="181" t="str">
        <f t="shared" si="2"/>
        <v>T-250</v>
      </c>
      <c r="AH10" s="9">
        <v>7</v>
      </c>
      <c r="AI10" s="9" t="str">
        <f>'5チーム2回戦総当たりスケジュール作業表'!$X$6</f>
        <v>T-25</v>
      </c>
      <c r="AJ10" s="9">
        <f>'5チーム2回戦総当たりスケジュール作業表'!$X$13</f>
        <v>0</v>
      </c>
      <c r="AK10" s="9" t="e">
        <f t="shared" ca="1" si="5"/>
        <v>#N/A</v>
      </c>
      <c r="AL10" s="9" t="e">
        <f t="shared" ca="1" si="6"/>
        <v>#N/A</v>
      </c>
      <c r="AM10" s="198" t="e">
        <f t="shared" ca="1" si="3"/>
        <v>#N/A</v>
      </c>
    </row>
    <row r="11" spans="1:39" ht="18" hidden="1" customHeight="1" x14ac:dyDescent="0.15">
      <c r="A11" s="210">
        <v>2</v>
      </c>
      <c r="B11" s="211">
        <f>'5チーム2回戦総当たりスケジュール作業表'!$B$7</f>
        <v>45197</v>
      </c>
      <c r="C11" s="212" t="str">
        <f>'5チーム2回戦総当たりスケジュール作業表'!$P$1</f>
        <v>西</v>
      </c>
      <c r="D11" s="213">
        <f t="shared" ca="1" si="4"/>
        <v>66</v>
      </c>
      <c r="E11" s="214">
        <f ca="1">OFFSET('5チーム2回戦総当たりスケジュール作業表'!$B$5,2,3)</f>
        <v>0</v>
      </c>
      <c r="F11" s="215"/>
      <c r="G11" s="216" t="s">
        <v>0</v>
      </c>
      <c r="H11" s="217"/>
      <c r="I11" s="214">
        <f ca="1">OFFSET('5チーム2回戦総当たりスケジュール作業表'!$B$5,2,4)</f>
        <v>0</v>
      </c>
      <c r="J11" s="191" t="str">
        <f t="shared" ca="1" si="0"/>
        <v>00</v>
      </c>
      <c r="K11" s="192">
        <f ca="1">OFFSET('5チーム2回戦総当たりスケジュール作業表'!$B$5,2,15)</f>
        <v>0</v>
      </c>
      <c r="L11" s="193">
        <f ca="1">OFFSET('5チーム2回戦総当たりスケジュール作業表'!$B$5,2,16)</f>
        <v>0</v>
      </c>
      <c r="M11" s="209">
        <f t="shared" si="1"/>
        <v>2</v>
      </c>
      <c r="N11" s="9"/>
      <c r="O11" s="194" t="s">
        <v>88</v>
      </c>
      <c r="P11" s="179">
        <v>7</v>
      </c>
      <c r="Q11" s="196">
        <v>21</v>
      </c>
      <c r="R11" s="196">
        <v>34</v>
      </c>
      <c r="S11" s="196">
        <v>46</v>
      </c>
      <c r="T11" s="196">
        <v>57</v>
      </c>
      <c r="U11" s="196">
        <v>67</v>
      </c>
      <c r="V11" s="196">
        <v>76</v>
      </c>
      <c r="W11" s="195"/>
      <c r="X11" s="196">
        <v>85</v>
      </c>
      <c r="Y11" s="196">
        <v>86</v>
      </c>
      <c r="Z11" s="196">
        <v>87</v>
      </c>
      <c r="AA11" s="196">
        <v>88</v>
      </c>
      <c r="AB11" s="196">
        <v>89</v>
      </c>
      <c r="AC11" s="196">
        <v>90</v>
      </c>
      <c r="AD11" s="196">
        <v>91</v>
      </c>
      <c r="AE11" s="197">
        <v>92</v>
      </c>
      <c r="AG11" s="181" t="str">
        <f t="shared" si="2"/>
        <v>T-250</v>
      </c>
      <c r="AH11" s="9">
        <v>8</v>
      </c>
      <c r="AI11" s="9" t="str">
        <f>'5チーム2回戦総当たりスケジュール作業表'!$X$6</f>
        <v>T-25</v>
      </c>
      <c r="AJ11" s="9">
        <f>'5チーム2回戦総当たりスケジュール作業表'!$X$14</f>
        <v>0</v>
      </c>
      <c r="AK11" s="9" t="e">
        <f t="shared" ca="1" si="5"/>
        <v>#N/A</v>
      </c>
      <c r="AL11" s="9" t="e">
        <f t="shared" ca="1" si="6"/>
        <v>#N/A</v>
      </c>
      <c r="AM11" s="198" t="e">
        <f t="shared" ca="1" si="3"/>
        <v>#N/A</v>
      </c>
    </row>
    <row r="12" spans="1:39" ht="18" customHeight="1" x14ac:dyDescent="0.15">
      <c r="A12" s="199">
        <v>2</v>
      </c>
      <c r="B12" s="200">
        <f>'5チーム2回戦総当たりスケジュール作業表'!$B$7</f>
        <v>45197</v>
      </c>
      <c r="C12" s="201" t="str">
        <f>'5チーム2回戦総当たりスケジュール作業表'!$P$1</f>
        <v>西</v>
      </c>
      <c r="D12" s="202">
        <f t="shared" ca="1" si="4"/>
        <v>124</v>
      </c>
      <c r="E12" s="203" t="str">
        <f ca="1">OFFSET('5チーム2回戦総当たりスケジュール作業表'!$B$5,2,5)</f>
        <v>PURE</v>
      </c>
      <c r="F12" s="204">
        <v>11</v>
      </c>
      <c r="G12" s="205" t="s">
        <v>0</v>
      </c>
      <c r="H12" s="206">
        <v>9</v>
      </c>
      <c r="I12" s="203" t="str">
        <f ca="1">OFFSET('5チーム2回戦総当たりスケジュール作業表'!$B$5,2,6)</f>
        <v>T-25</v>
      </c>
      <c r="J12" s="173" t="str">
        <f t="shared" ca="1" si="0"/>
        <v>PURET-25</v>
      </c>
      <c r="K12" s="192">
        <f ca="1">OFFSET('5チーム2回戦総当たりスケジュール作業表'!$B$5,2,17)</f>
        <v>0</v>
      </c>
      <c r="L12" s="193">
        <f ca="1">OFFSET('5チーム2回戦総当たりスケジュール作業表'!$B$5,2,18)</f>
        <v>0</v>
      </c>
      <c r="M12" s="209">
        <f t="shared" si="1"/>
        <v>2</v>
      </c>
      <c r="N12" s="9"/>
      <c r="O12" s="194" t="s">
        <v>89</v>
      </c>
      <c r="P12" s="179">
        <v>8</v>
      </c>
      <c r="Q12" s="196">
        <v>22</v>
      </c>
      <c r="R12" s="196">
        <v>35</v>
      </c>
      <c r="S12" s="196">
        <v>47</v>
      </c>
      <c r="T12" s="196">
        <v>58</v>
      </c>
      <c r="U12" s="196">
        <v>68</v>
      </c>
      <c r="V12" s="196">
        <v>77</v>
      </c>
      <c r="W12" s="196">
        <v>85</v>
      </c>
      <c r="X12" s="195"/>
      <c r="Y12" s="196">
        <v>93</v>
      </c>
      <c r="Z12" s="196">
        <v>94</v>
      </c>
      <c r="AA12" s="196">
        <v>95</v>
      </c>
      <c r="AB12" s="196">
        <v>96</v>
      </c>
      <c r="AC12" s="196">
        <v>97</v>
      </c>
      <c r="AD12" s="196">
        <v>98</v>
      </c>
      <c r="AE12" s="197">
        <v>99</v>
      </c>
      <c r="AG12" s="181" t="str">
        <f t="shared" si="2"/>
        <v>T-250</v>
      </c>
      <c r="AH12" s="9">
        <v>9</v>
      </c>
      <c r="AI12" s="9" t="str">
        <f>'5チーム2回戦総当たりスケジュール作業表'!$X$6</f>
        <v>T-25</v>
      </c>
      <c r="AJ12" s="9">
        <f>'5チーム2回戦総当たりスケジュール作業表'!$X$15</f>
        <v>0</v>
      </c>
      <c r="AK12" s="9" t="e">
        <f t="shared" ca="1" si="5"/>
        <v>#N/A</v>
      </c>
      <c r="AL12" s="9" t="e">
        <f t="shared" ca="1" si="6"/>
        <v>#N/A</v>
      </c>
      <c r="AM12" s="198" t="e">
        <f t="shared" ca="1" si="3"/>
        <v>#N/A</v>
      </c>
    </row>
    <row r="13" spans="1:39" ht="18" hidden="1" customHeight="1" x14ac:dyDescent="0.15">
      <c r="A13" s="210">
        <v>2</v>
      </c>
      <c r="B13" s="211">
        <f>'5チーム2回戦総当たりスケジュール作業表'!$B$7</f>
        <v>45197</v>
      </c>
      <c r="C13" s="212" t="str">
        <f>'5チーム2回戦総当たりスケジュール作業表'!$P$1</f>
        <v>西</v>
      </c>
      <c r="D13" s="213">
        <f t="shared" ca="1" si="4"/>
        <v>66</v>
      </c>
      <c r="E13" s="214">
        <f ca="1">OFFSET('5チーム2回戦総当たりスケジュール作業表'!$B$5,2,7)</f>
        <v>0</v>
      </c>
      <c r="F13" s="215"/>
      <c r="G13" s="216" t="s">
        <v>0</v>
      </c>
      <c r="H13" s="217"/>
      <c r="I13" s="214">
        <f ca="1">OFFSET('5チーム2回戦総当たりスケジュール作業表'!$B$5,2,8)</f>
        <v>0</v>
      </c>
      <c r="J13" s="191" t="str">
        <f t="shared" ca="1" si="0"/>
        <v>00</v>
      </c>
      <c r="K13" s="192"/>
      <c r="L13" s="193"/>
      <c r="M13" s="209">
        <f t="shared" si="1"/>
        <v>2</v>
      </c>
      <c r="N13" s="9"/>
      <c r="O13" s="194" t="s">
        <v>90</v>
      </c>
      <c r="P13" s="179">
        <v>9</v>
      </c>
      <c r="Q13" s="196">
        <v>23</v>
      </c>
      <c r="R13" s="196">
        <v>36</v>
      </c>
      <c r="S13" s="196">
        <v>48</v>
      </c>
      <c r="T13" s="196">
        <v>59</v>
      </c>
      <c r="U13" s="196">
        <v>69</v>
      </c>
      <c r="V13" s="196">
        <v>78</v>
      </c>
      <c r="W13" s="196">
        <v>86</v>
      </c>
      <c r="X13" s="196">
        <v>93</v>
      </c>
      <c r="Y13" s="195"/>
      <c r="Z13" s="196">
        <v>100</v>
      </c>
      <c r="AA13" s="196">
        <v>101</v>
      </c>
      <c r="AB13" s="196">
        <v>102</v>
      </c>
      <c r="AC13" s="196">
        <v>103</v>
      </c>
      <c r="AD13" s="196">
        <v>104</v>
      </c>
      <c r="AE13" s="197">
        <v>105</v>
      </c>
      <c r="AG13" s="181" t="str">
        <f t="shared" si="2"/>
        <v>T-250</v>
      </c>
      <c r="AH13" s="9">
        <v>10</v>
      </c>
      <c r="AI13" s="9" t="str">
        <f>'5チーム2回戦総当たりスケジュール作業表'!$X$6</f>
        <v>T-25</v>
      </c>
      <c r="AJ13" s="9">
        <f>'5チーム2回戦総当たりスケジュール作業表'!$X$16</f>
        <v>0</v>
      </c>
      <c r="AK13" s="9" t="e">
        <f t="shared" ca="1" si="5"/>
        <v>#N/A</v>
      </c>
      <c r="AL13" s="9" t="e">
        <f t="shared" ca="1" si="6"/>
        <v>#N/A</v>
      </c>
      <c r="AM13" s="198" t="e">
        <f t="shared" ca="1" si="3"/>
        <v>#N/A</v>
      </c>
    </row>
    <row r="14" spans="1:39" ht="18" hidden="1" customHeight="1" x14ac:dyDescent="0.15">
      <c r="A14" s="199">
        <v>2</v>
      </c>
      <c r="B14" s="200">
        <f>'5チーム2回戦総当たりスケジュール作業表'!$B$7</f>
        <v>45197</v>
      </c>
      <c r="C14" s="201" t="str">
        <f>'5チーム2回戦総当たりスケジュール作業表'!$P$1</f>
        <v>西</v>
      </c>
      <c r="D14" s="202">
        <f t="shared" ca="1" si="4"/>
        <v>32</v>
      </c>
      <c r="E14" s="203" t="str">
        <f ca="1">OFFSET('5チーム2回戦総当たりスケジュール作業表'!$B$5,2,9)</f>
        <v>うなぎ</v>
      </c>
      <c r="F14" s="204"/>
      <c r="G14" s="205" t="s">
        <v>0</v>
      </c>
      <c r="H14" s="206"/>
      <c r="I14" s="203">
        <f ca="1">OFFSET('5チーム2回戦総当たりスケジュール作業表'!$B$5,2,10)</f>
        <v>0</v>
      </c>
      <c r="J14" s="173" t="str">
        <f t="shared" ca="1" si="0"/>
        <v>うなぎ0</v>
      </c>
      <c r="K14" s="192"/>
      <c r="L14" s="193"/>
      <c r="M14" s="209">
        <f t="shared" si="1"/>
        <v>2</v>
      </c>
      <c r="N14" s="9"/>
      <c r="O14" s="194" t="s">
        <v>91</v>
      </c>
      <c r="P14" s="179">
        <v>10</v>
      </c>
      <c r="Q14" s="196">
        <v>24</v>
      </c>
      <c r="R14" s="196">
        <v>37</v>
      </c>
      <c r="S14" s="196">
        <v>49</v>
      </c>
      <c r="T14" s="196">
        <v>60</v>
      </c>
      <c r="U14" s="196">
        <v>70</v>
      </c>
      <c r="V14" s="196">
        <v>79</v>
      </c>
      <c r="W14" s="196">
        <v>87</v>
      </c>
      <c r="X14" s="196">
        <v>94</v>
      </c>
      <c r="Y14" s="196">
        <v>100</v>
      </c>
      <c r="Z14" s="195"/>
      <c r="AA14" s="196">
        <v>106</v>
      </c>
      <c r="AB14" s="196">
        <v>107</v>
      </c>
      <c r="AC14" s="196">
        <v>108</v>
      </c>
      <c r="AD14" s="196">
        <v>109</v>
      </c>
      <c r="AE14" s="197">
        <v>110</v>
      </c>
      <c r="AG14" s="181" t="str">
        <f t="shared" si="2"/>
        <v>T-250</v>
      </c>
      <c r="AH14" s="9">
        <v>11</v>
      </c>
      <c r="AI14" s="9" t="str">
        <f>'5チーム2回戦総当たりスケジュール作業表'!$X$6</f>
        <v>T-25</v>
      </c>
      <c r="AJ14" s="9">
        <f>'5チーム2回戦総当たりスケジュール作業表'!$X$17</f>
        <v>0</v>
      </c>
      <c r="AK14" s="9" t="e">
        <f t="shared" ca="1" si="5"/>
        <v>#N/A</v>
      </c>
      <c r="AL14" s="9" t="e">
        <f t="shared" ca="1" si="6"/>
        <v>#N/A</v>
      </c>
      <c r="AM14" s="198" t="e">
        <f t="shared" ca="1" si="3"/>
        <v>#N/A</v>
      </c>
    </row>
    <row r="15" spans="1:39" ht="18" hidden="1" customHeight="1" x14ac:dyDescent="0.15">
      <c r="A15" s="210">
        <v>2</v>
      </c>
      <c r="B15" s="211">
        <f>'5チーム2回戦総当たりスケジュール作業表'!$B$7</f>
        <v>45197</v>
      </c>
      <c r="C15" s="212" t="str">
        <f>'5チーム2回戦総当たりスケジュール作業表'!$P$1</f>
        <v>西</v>
      </c>
      <c r="D15" s="213">
        <f t="shared" ca="1" si="4"/>
        <v>66</v>
      </c>
      <c r="E15" s="214">
        <f ca="1">IF(I15=0,0,OFFSET('5チーム2回戦総当たりスケジュール作業表'!$B$5,2,11))</f>
        <v>0</v>
      </c>
      <c r="F15" s="215"/>
      <c r="G15" s="216" t="s">
        <v>0</v>
      </c>
      <c r="H15" s="217"/>
      <c r="I15" s="214">
        <f ca="1">OFFSET('5チーム2回戦総当たりスケジュール作業表'!$B$5,2,12)</f>
        <v>0</v>
      </c>
      <c r="J15" s="191" t="str">
        <f t="shared" ca="1" si="0"/>
        <v>00</v>
      </c>
      <c r="K15" s="192"/>
      <c r="L15" s="193"/>
      <c r="M15" s="209">
        <f t="shared" si="1"/>
        <v>2</v>
      </c>
      <c r="N15" s="9"/>
      <c r="O15" s="194" t="s">
        <v>92</v>
      </c>
      <c r="P15" s="179">
        <v>11</v>
      </c>
      <c r="Q15" s="196">
        <v>25</v>
      </c>
      <c r="R15" s="196">
        <v>38</v>
      </c>
      <c r="S15" s="196">
        <v>50</v>
      </c>
      <c r="T15" s="196">
        <v>61</v>
      </c>
      <c r="U15" s="196">
        <v>71</v>
      </c>
      <c r="V15" s="196">
        <v>80</v>
      </c>
      <c r="W15" s="196">
        <v>88</v>
      </c>
      <c r="X15" s="196">
        <v>95</v>
      </c>
      <c r="Y15" s="196">
        <v>101</v>
      </c>
      <c r="Z15" s="196">
        <v>106</v>
      </c>
      <c r="AA15" s="195"/>
      <c r="AB15" s="196">
        <v>111</v>
      </c>
      <c r="AC15" s="196">
        <v>112</v>
      </c>
      <c r="AD15" s="196">
        <v>113</v>
      </c>
      <c r="AE15" s="197">
        <v>114</v>
      </c>
      <c r="AG15" s="181" t="str">
        <f t="shared" si="2"/>
        <v>T-250</v>
      </c>
      <c r="AH15" s="9">
        <v>12</v>
      </c>
      <c r="AI15" s="9" t="str">
        <f>'5チーム2回戦総当たりスケジュール作業表'!$X$6</f>
        <v>T-25</v>
      </c>
      <c r="AJ15" s="9">
        <f>'5チーム2回戦総当たりスケジュール作業表'!$X$18</f>
        <v>0</v>
      </c>
      <c r="AK15" s="9" t="e">
        <f t="shared" ca="1" si="5"/>
        <v>#N/A</v>
      </c>
      <c r="AL15" s="9" t="e">
        <f t="shared" ca="1" si="6"/>
        <v>#N/A</v>
      </c>
      <c r="AM15" s="198" t="e">
        <f t="shared" ca="1" si="3"/>
        <v>#N/A</v>
      </c>
    </row>
    <row r="16" spans="1:39" ht="18" customHeight="1" x14ac:dyDescent="0.15">
      <c r="A16" s="165">
        <v>3</v>
      </c>
      <c r="B16" s="166">
        <f>'5チーム2回戦総当たりスケジュール作業表'!$B$8</f>
        <v>45204</v>
      </c>
      <c r="C16" s="167" t="str">
        <f>'5チーム2回戦総当たりスケジュール作業表'!$P$1</f>
        <v>西</v>
      </c>
      <c r="D16" s="168">
        <f t="shared" ca="1" si="4"/>
        <v>3</v>
      </c>
      <c r="E16" s="169" t="str">
        <f ca="1">OFFSET('5チーム2回戦総当たりスケジュール作業表'!$B$5,3,1)</f>
        <v>T-25</v>
      </c>
      <c r="F16" s="170">
        <v>7</v>
      </c>
      <c r="G16" s="171" t="s">
        <v>0</v>
      </c>
      <c r="H16" s="172">
        <v>12</v>
      </c>
      <c r="I16" s="169" t="str">
        <f ca="1">OFFSET('5チーム2回戦総当たりスケジュール作業表'!$B$5,3,2)</f>
        <v>飛杉田新地</v>
      </c>
      <c r="J16" s="173" t="str">
        <f t="shared" ca="1" si="0"/>
        <v>T-25飛杉田新地</v>
      </c>
      <c r="K16" s="207">
        <f ca="1">IF(I21=0,OFFSET('5チーム2回戦総当たりスケジュール作業表'!$B$5,3,11),0)</f>
        <v>0</v>
      </c>
      <c r="L16" s="208">
        <f ca="1">OFFSET('5チーム2回戦総当たりスケジュール作業表'!$B$5,3,12)</f>
        <v>0</v>
      </c>
      <c r="M16" s="176">
        <f t="shared" si="1"/>
        <v>3</v>
      </c>
      <c r="N16" s="9"/>
      <c r="O16" s="194" t="s">
        <v>93</v>
      </c>
      <c r="P16" s="179">
        <v>12</v>
      </c>
      <c r="Q16" s="196">
        <v>26</v>
      </c>
      <c r="R16" s="196">
        <v>39</v>
      </c>
      <c r="S16" s="196">
        <v>51</v>
      </c>
      <c r="T16" s="196">
        <v>62</v>
      </c>
      <c r="U16" s="196">
        <v>72</v>
      </c>
      <c r="V16" s="196">
        <v>81</v>
      </c>
      <c r="W16" s="196">
        <v>89</v>
      </c>
      <c r="X16" s="196">
        <v>96</v>
      </c>
      <c r="Y16" s="196">
        <v>102</v>
      </c>
      <c r="Z16" s="196">
        <v>107</v>
      </c>
      <c r="AA16" s="196">
        <v>111</v>
      </c>
      <c r="AB16" s="195"/>
      <c r="AC16" s="196">
        <v>115</v>
      </c>
      <c r="AD16" s="196">
        <v>116</v>
      </c>
      <c r="AE16" s="197">
        <v>117</v>
      </c>
      <c r="AG16" s="181" t="str">
        <f t="shared" si="2"/>
        <v>T-250</v>
      </c>
      <c r="AH16" s="9">
        <v>13</v>
      </c>
      <c r="AI16" s="9" t="str">
        <f>'5チーム2回戦総当たりスケジュール作業表'!$X$6</f>
        <v>T-25</v>
      </c>
      <c r="AJ16" s="9">
        <f>'5チーム2回戦総当たりスケジュール作業表'!$X$19</f>
        <v>0</v>
      </c>
      <c r="AK16" s="9" t="e">
        <f t="shared" ca="1" si="5"/>
        <v>#N/A</v>
      </c>
      <c r="AL16" s="9" t="e">
        <f t="shared" ca="1" si="6"/>
        <v>#N/A</v>
      </c>
      <c r="AM16" s="198" t="e">
        <f t="shared" ca="1" si="3"/>
        <v>#N/A</v>
      </c>
    </row>
    <row r="17" spans="1:39" ht="18" hidden="1" customHeight="1" x14ac:dyDescent="0.15">
      <c r="A17" s="183">
        <v>3</v>
      </c>
      <c r="B17" s="184">
        <f>'5チーム2回戦総当たりスケジュール作業表'!$B$8</f>
        <v>45204</v>
      </c>
      <c r="C17" s="185" t="str">
        <f>'5チーム2回戦総当たりスケジュール作業表'!$P$1</f>
        <v>西</v>
      </c>
      <c r="D17" s="186">
        <f t="shared" ca="1" si="4"/>
        <v>66</v>
      </c>
      <c r="E17" s="187">
        <f ca="1">OFFSET('5チーム2回戦総当たりスケジュール作業表'!$B$5,3,3)</f>
        <v>0</v>
      </c>
      <c r="F17" s="188"/>
      <c r="G17" s="189" t="s">
        <v>0</v>
      </c>
      <c r="H17" s="190"/>
      <c r="I17" s="187">
        <f ca="1">OFFSET('5チーム2回戦総当たりスケジュール作業表'!$B$5,3,4)</f>
        <v>0</v>
      </c>
      <c r="J17" s="191" t="str">
        <f t="shared" ca="1" si="0"/>
        <v>00</v>
      </c>
      <c r="K17" s="192">
        <f ca="1">OFFSET('5チーム2回戦総当たりスケジュール作業表'!$B$5,3,15)</f>
        <v>0</v>
      </c>
      <c r="L17" s="193">
        <f ca="1">OFFSET('5チーム2回戦総当たりスケジュール作業表'!$B$5,3,16)</f>
        <v>0</v>
      </c>
      <c r="M17" s="176">
        <f t="shared" si="1"/>
        <v>3</v>
      </c>
      <c r="N17" s="9"/>
      <c r="O17" s="194" t="s">
        <v>94</v>
      </c>
      <c r="P17" s="179">
        <v>13</v>
      </c>
      <c r="Q17" s="196">
        <v>27</v>
      </c>
      <c r="R17" s="196">
        <v>40</v>
      </c>
      <c r="S17" s="196">
        <v>52</v>
      </c>
      <c r="T17" s="196">
        <v>63</v>
      </c>
      <c r="U17" s="196">
        <v>73</v>
      </c>
      <c r="V17" s="196">
        <v>82</v>
      </c>
      <c r="W17" s="196">
        <v>90</v>
      </c>
      <c r="X17" s="196">
        <v>97</v>
      </c>
      <c r="Y17" s="196">
        <v>103</v>
      </c>
      <c r="Z17" s="196">
        <v>108</v>
      </c>
      <c r="AA17" s="196">
        <v>112</v>
      </c>
      <c r="AB17" s="196">
        <v>115</v>
      </c>
      <c r="AC17" s="195"/>
      <c r="AD17" s="196">
        <v>118</v>
      </c>
      <c r="AE17" s="218">
        <v>119</v>
      </c>
      <c r="AG17" s="181" t="str">
        <f t="shared" si="2"/>
        <v>T-250</v>
      </c>
      <c r="AH17" s="9">
        <v>14</v>
      </c>
      <c r="AI17" s="9" t="str">
        <f>'5チーム2回戦総当たりスケジュール作業表'!$X$6</f>
        <v>T-25</v>
      </c>
      <c r="AJ17" s="9">
        <f>'5チーム2回戦総当たりスケジュール作業表'!$X$20</f>
        <v>0</v>
      </c>
      <c r="AK17" s="9" t="e">
        <f t="shared" ca="1" si="5"/>
        <v>#N/A</v>
      </c>
      <c r="AL17" s="9" t="e">
        <f t="shared" ca="1" si="6"/>
        <v>#N/A</v>
      </c>
      <c r="AM17" s="198" t="e">
        <f t="shared" ca="1" si="3"/>
        <v>#N/A</v>
      </c>
    </row>
    <row r="18" spans="1:39" ht="18" customHeight="1" x14ac:dyDescent="0.15">
      <c r="A18" s="165">
        <v>3</v>
      </c>
      <c r="B18" s="166">
        <f>'5チーム2回戦総当たりスケジュール作業表'!$B$8</f>
        <v>45204</v>
      </c>
      <c r="C18" s="167" t="str">
        <f>'5チーム2回戦総当たりスケジュール作業表'!$P$1</f>
        <v>西</v>
      </c>
      <c r="D18" s="168">
        <f t="shared" ca="1" si="4"/>
        <v>31</v>
      </c>
      <c r="E18" s="169" t="str">
        <f ca="1">OFFSET('5チーム2回戦総当たりスケジュール作業表'!$B$5,3,5)</f>
        <v>うなぎ</v>
      </c>
      <c r="F18" s="170">
        <v>8</v>
      </c>
      <c r="G18" s="171" t="s">
        <v>0</v>
      </c>
      <c r="H18" s="172">
        <v>1</v>
      </c>
      <c r="I18" s="169" t="str">
        <f ca="1">OFFSET('5チーム2回戦総当たりスケジュール作業表'!$B$5,3,6)</f>
        <v>PURE</v>
      </c>
      <c r="J18" s="173" t="str">
        <f t="shared" ca="1" si="0"/>
        <v>うなぎPURE</v>
      </c>
      <c r="K18" s="192">
        <f ca="1">OFFSET('5チーム2回戦総当たりスケジュール作業表'!$B$5,3,17)</f>
        <v>0</v>
      </c>
      <c r="L18" s="193">
        <f ca="1">OFFSET('5チーム2回戦総当たりスケジュール作業表'!$B$5,3,18)</f>
        <v>0</v>
      </c>
      <c r="M18" s="176">
        <f t="shared" si="1"/>
        <v>3</v>
      </c>
      <c r="N18" s="9"/>
      <c r="O18" s="194" t="s">
        <v>95</v>
      </c>
      <c r="P18" s="179">
        <v>14</v>
      </c>
      <c r="Q18" s="196">
        <v>28</v>
      </c>
      <c r="R18" s="196">
        <v>41</v>
      </c>
      <c r="S18" s="196">
        <v>53</v>
      </c>
      <c r="T18" s="196">
        <v>64</v>
      </c>
      <c r="U18" s="196">
        <v>74</v>
      </c>
      <c r="V18" s="196">
        <v>83</v>
      </c>
      <c r="W18" s="196">
        <v>91</v>
      </c>
      <c r="X18" s="196">
        <v>98</v>
      </c>
      <c r="Y18" s="196">
        <v>104</v>
      </c>
      <c r="Z18" s="196">
        <v>109</v>
      </c>
      <c r="AA18" s="196">
        <v>113</v>
      </c>
      <c r="AB18" s="196">
        <v>116</v>
      </c>
      <c r="AC18" s="196">
        <v>118</v>
      </c>
      <c r="AD18" s="195"/>
      <c r="AE18" s="197">
        <v>120</v>
      </c>
      <c r="AG18" s="181" t="str">
        <f t="shared" si="2"/>
        <v>T-250</v>
      </c>
      <c r="AH18" s="9">
        <v>15</v>
      </c>
      <c r="AI18" s="9" t="str">
        <f>'5チーム2回戦総当たりスケジュール作業表'!$X$6</f>
        <v>T-25</v>
      </c>
      <c r="AJ18" s="9">
        <f>'5チーム2回戦総当たりスケジュール作業表'!$X$21</f>
        <v>0</v>
      </c>
      <c r="AK18" s="9" t="e">
        <f t="shared" ca="1" si="5"/>
        <v>#N/A</v>
      </c>
      <c r="AL18" s="9" t="e">
        <f t="shared" ca="1" si="6"/>
        <v>#N/A</v>
      </c>
      <c r="AM18" s="198" t="e">
        <f t="shared" ca="1" si="3"/>
        <v>#N/A</v>
      </c>
    </row>
    <row r="19" spans="1:39" ht="18" hidden="1" customHeight="1" x14ac:dyDescent="0.15">
      <c r="A19" s="183">
        <v>3</v>
      </c>
      <c r="B19" s="184">
        <f>'5チーム2回戦総当たりスケジュール作業表'!$B$8</f>
        <v>45204</v>
      </c>
      <c r="C19" s="185" t="str">
        <f>'5チーム2回戦総当たりスケジュール作業表'!$P$1</f>
        <v>西</v>
      </c>
      <c r="D19" s="186">
        <f t="shared" ca="1" si="4"/>
        <v>66</v>
      </c>
      <c r="E19" s="187">
        <f ca="1">OFFSET('5チーム2回戦総当たりスケジュール作業表'!$B$5,3,7)</f>
        <v>0</v>
      </c>
      <c r="F19" s="188"/>
      <c r="G19" s="189" t="s">
        <v>0</v>
      </c>
      <c r="H19" s="190"/>
      <c r="I19" s="187">
        <f ca="1">OFFSET('5チーム2回戦総当たりスケジュール作業表'!$B$5,3,8)</f>
        <v>0</v>
      </c>
      <c r="J19" s="191" t="str">
        <f t="shared" ca="1" si="0"/>
        <v>00</v>
      </c>
      <c r="K19" s="192"/>
      <c r="L19" s="193"/>
      <c r="M19" s="176">
        <f t="shared" si="1"/>
        <v>3</v>
      </c>
      <c r="O19" s="219" t="s">
        <v>96</v>
      </c>
      <c r="P19" s="220">
        <v>15</v>
      </c>
      <c r="Q19" s="221">
        <v>29</v>
      </c>
      <c r="R19" s="221">
        <v>42</v>
      </c>
      <c r="S19" s="221">
        <v>54</v>
      </c>
      <c r="T19" s="221">
        <v>65</v>
      </c>
      <c r="U19" s="221">
        <v>75</v>
      </c>
      <c r="V19" s="221">
        <v>84</v>
      </c>
      <c r="W19" s="221">
        <v>92</v>
      </c>
      <c r="X19" s="221">
        <v>99</v>
      </c>
      <c r="Y19" s="221">
        <v>105</v>
      </c>
      <c r="Z19" s="221">
        <v>110</v>
      </c>
      <c r="AA19" s="221">
        <v>114</v>
      </c>
      <c r="AB19" s="221">
        <v>117</v>
      </c>
      <c r="AC19" s="221">
        <v>119</v>
      </c>
      <c r="AD19" s="221">
        <v>120</v>
      </c>
      <c r="AE19" s="222"/>
      <c r="AG19" s="181" t="str">
        <f t="shared" si="2"/>
        <v>Eteliaうなぎ</v>
      </c>
      <c r="AH19" s="9">
        <v>16</v>
      </c>
      <c r="AI19" s="9" t="str">
        <f>'5チーム2回戦総当たりスケジュール作業表'!$X$7</f>
        <v>Etelia</v>
      </c>
      <c r="AJ19" s="9" t="str">
        <f>'5チーム2回戦総当たりスケジュール作業表'!$X$8</f>
        <v>うなぎ</v>
      </c>
      <c r="AK19" s="9">
        <f t="shared" ca="1" si="5"/>
        <v>12</v>
      </c>
      <c r="AL19" s="9">
        <f t="shared" ca="1" si="6"/>
        <v>4</v>
      </c>
      <c r="AM19" s="198">
        <f t="shared" ca="1" si="3"/>
        <v>5</v>
      </c>
    </row>
    <row r="20" spans="1:39" ht="18" hidden="1" customHeight="1" x14ac:dyDescent="0.15">
      <c r="A20" s="165">
        <v>3</v>
      </c>
      <c r="B20" s="166">
        <f>'5チーム2回戦総当たりスケジュール作業表'!$B$8</f>
        <v>45204</v>
      </c>
      <c r="C20" s="167" t="str">
        <f>'5チーム2回戦総当たりスケジュール作業表'!$P$1</f>
        <v>西</v>
      </c>
      <c r="D20" s="168">
        <f t="shared" ca="1" si="4"/>
        <v>19</v>
      </c>
      <c r="E20" s="169" t="str">
        <f ca="1">OFFSET('5チーム2回戦総当たりスケジュール作業表'!$B$5,3,9)</f>
        <v>Etelia</v>
      </c>
      <c r="F20" s="170"/>
      <c r="G20" s="171" t="s">
        <v>0</v>
      </c>
      <c r="H20" s="172"/>
      <c r="I20" s="169">
        <f ca="1">OFFSET('5チーム2回戦総当たりスケジュール作業表'!$B$5,3,10)</f>
        <v>0</v>
      </c>
      <c r="J20" s="173" t="str">
        <f t="shared" ca="1" si="0"/>
        <v>Etelia0</v>
      </c>
      <c r="K20" s="192"/>
      <c r="L20" s="193"/>
      <c r="M20" s="176">
        <f t="shared" si="1"/>
        <v>3</v>
      </c>
      <c r="AG20" s="181" t="str">
        <f t="shared" si="2"/>
        <v>Etelia飛杉田新地</v>
      </c>
      <c r="AH20" s="9">
        <v>17</v>
      </c>
      <c r="AI20" s="9" t="str">
        <f>'5チーム2回戦総当たりスケジュール作業表'!$X$7</f>
        <v>Etelia</v>
      </c>
      <c r="AJ20" s="9" t="str">
        <f>'5チーム2回戦総当たりスケジュール作業表'!$X$9</f>
        <v>飛杉田新地</v>
      </c>
      <c r="AK20" s="9">
        <f t="shared" ca="1" si="5"/>
        <v>6</v>
      </c>
      <c r="AL20" s="9">
        <f t="shared" ca="1" si="6"/>
        <v>3</v>
      </c>
      <c r="AM20" s="198">
        <f t="shared" ca="1" si="3"/>
        <v>2</v>
      </c>
    </row>
    <row r="21" spans="1:39" ht="18" hidden="1" customHeight="1" x14ac:dyDescent="0.15">
      <c r="A21" s="183">
        <v>3</v>
      </c>
      <c r="B21" s="184">
        <f>'5チーム2回戦総当たりスケジュール作業表'!$B$8</f>
        <v>45204</v>
      </c>
      <c r="C21" s="185" t="str">
        <f>'5チーム2回戦総当たりスケジュール作業表'!$P$1</f>
        <v>西</v>
      </c>
      <c r="D21" s="186">
        <f t="shared" ca="1" si="4"/>
        <v>66</v>
      </c>
      <c r="E21" s="187">
        <f ca="1">IF(I21=0,0,OFFSET('5チーム2回戦総当たりスケジュール作業表'!$B$5,3,11))</f>
        <v>0</v>
      </c>
      <c r="F21" s="188"/>
      <c r="G21" s="189" t="s">
        <v>0</v>
      </c>
      <c r="H21" s="190"/>
      <c r="I21" s="187">
        <f ca="1">OFFSET('5チーム2回戦総当たりスケジュール作業表'!$B$5,3,12)</f>
        <v>0</v>
      </c>
      <c r="J21" s="191" t="str">
        <f t="shared" ca="1" si="0"/>
        <v>00</v>
      </c>
      <c r="K21" s="192"/>
      <c r="L21" s="193"/>
      <c r="M21" s="176">
        <f t="shared" si="1"/>
        <v>3</v>
      </c>
      <c r="S21" s="94"/>
      <c r="T21" s="94"/>
      <c r="AG21" s="181" t="str">
        <f t="shared" si="2"/>
        <v>EteliaPURE</v>
      </c>
      <c r="AH21" s="9">
        <v>18</v>
      </c>
      <c r="AI21" s="9" t="str">
        <f>'5チーム2回戦総当たりスケジュール作業表'!$X$7</f>
        <v>Etelia</v>
      </c>
      <c r="AJ21" s="9" t="str">
        <f>'5チーム2回戦総当たりスケジュール作業表'!$X$10</f>
        <v>PURE</v>
      </c>
      <c r="AK21" s="9">
        <f t="shared" ca="1" si="5"/>
        <v>2</v>
      </c>
      <c r="AL21" s="9">
        <f t="shared" ca="1" si="6"/>
        <v>3</v>
      </c>
      <c r="AM21" s="198">
        <f t="shared" ca="1" si="3"/>
        <v>4</v>
      </c>
    </row>
    <row r="22" spans="1:39" ht="18" customHeight="1" x14ac:dyDescent="0.15">
      <c r="A22" s="199">
        <v>4</v>
      </c>
      <c r="B22" s="200">
        <f>'5チーム2回戦総当たりスケジュール作業表'!$B$9</f>
        <v>45211</v>
      </c>
      <c r="C22" s="201" t="str">
        <f>'5チーム2回戦総当たりスケジュール作業表'!$P$1</f>
        <v>西</v>
      </c>
      <c r="D22" s="202">
        <f t="shared" ca="1" si="4"/>
        <v>18</v>
      </c>
      <c r="E22" s="203" t="str">
        <f ca="1">OFFSET('5チーム2回戦総当たりスケジュール作業表'!$B$5,4,1)</f>
        <v>Etelia</v>
      </c>
      <c r="F22" s="204">
        <v>2</v>
      </c>
      <c r="G22" s="205" t="s">
        <v>0</v>
      </c>
      <c r="H22" s="206">
        <v>3</v>
      </c>
      <c r="I22" s="203" t="str">
        <f ca="1">OFFSET('5チーム2回戦総当たりスケジュール作業表'!$B$5,4,2)</f>
        <v>PURE</v>
      </c>
      <c r="J22" s="173" t="str">
        <f t="shared" ca="1" si="0"/>
        <v>EteliaPURE</v>
      </c>
      <c r="K22" s="207">
        <f ca="1">IF(I27=0,OFFSET('5チーム2回戦総当たりスケジュール作業表'!$B$5,4,11),0)</f>
        <v>0</v>
      </c>
      <c r="L22" s="208">
        <f ca="1">OFFSET('5チーム2回戦総当たりスケジュール作業表'!$B$5,4,12)</f>
        <v>0</v>
      </c>
      <c r="M22" s="209">
        <f t="shared" si="1"/>
        <v>4</v>
      </c>
      <c r="N22" s="9"/>
      <c r="S22" s="223"/>
      <c r="T22" s="223"/>
      <c r="AG22" s="181" t="str">
        <f t="shared" si="2"/>
        <v>Etelia0</v>
      </c>
      <c r="AH22" s="9">
        <v>19</v>
      </c>
      <c r="AI22" s="9" t="str">
        <f>'5チーム2回戦総当たりスケジュール作業表'!$X$7</f>
        <v>Etelia</v>
      </c>
      <c r="AJ22" s="9">
        <f>'5チーム2回戦総当たりスケジュール作業表'!$X$11</f>
        <v>0</v>
      </c>
      <c r="AK22" s="9" t="str">
        <f t="shared" ca="1" si="5"/>
        <v/>
      </c>
      <c r="AL22" s="9" t="str">
        <f t="shared" ca="1" si="6"/>
        <v/>
      </c>
      <c r="AM22" s="198">
        <f t="shared" ca="1" si="3"/>
        <v>3</v>
      </c>
    </row>
    <row r="23" spans="1:39" ht="18" hidden="1" customHeight="1" x14ac:dyDescent="0.15">
      <c r="A23" s="210">
        <v>4</v>
      </c>
      <c r="B23" s="211">
        <f>'5チーム2回戦総当たりスケジュール作業表'!$B$9</f>
        <v>45211</v>
      </c>
      <c r="C23" s="212" t="str">
        <f>'5チーム2回戦総当たりスケジュール作業表'!$P$1</f>
        <v>西</v>
      </c>
      <c r="D23" s="213">
        <f t="shared" ca="1" si="4"/>
        <v>66</v>
      </c>
      <c r="E23" s="214">
        <f ca="1">OFFSET('5チーム2回戦総当たりスケジュール作業表'!$B$5,4,3)</f>
        <v>0</v>
      </c>
      <c r="F23" s="215"/>
      <c r="G23" s="216" t="s">
        <v>0</v>
      </c>
      <c r="H23" s="217"/>
      <c r="I23" s="214">
        <f ca="1">OFFSET('5チーム2回戦総当たりスケジュール作業表'!$B$5,4,4)</f>
        <v>0</v>
      </c>
      <c r="J23" s="191" t="str">
        <f t="shared" ca="1" si="0"/>
        <v>00</v>
      </c>
      <c r="K23" s="192">
        <f ca="1">OFFSET('5チーム2回戦総当たりスケジュール作業表'!$B$5,4,15)</f>
        <v>0</v>
      </c>
      <c r="L23" s="193">
        <f ca="1">OFFSET('5チーム2回戦総当たりスケジュール作業表'!$B$5,4,16)</f>
        <v>0</v>
      </c>
      <c r="M23" s="209">
        <f t="shared" si="1"/>
        <v>4</v>
      </c>
      <c r="S23" s="223"/>
      <c r="T23" s="223"/>
      <c r="AG23" s="181" t="str">
        <f t="shared" si="2"/>
        <v>Etelia0</v>
      </c>
      <c r="AH23" s="9">
        <v>20</v>
      </c>
      <c r="AI23" s="9" t="str">
        <f>'5チーム2回戦総当たりスケジュール作業表'!$X$7</f>
        <v>Etelia</v>
      </c>
      <c r="AJ23" s="9">
        <f>'5チーム2回戦総当たりスケジュール作業表'!$X$12</f>
        <v>0</v>
      </c>
      <c r="AK23" s="9" t="e">
        <f t="shared" ca="1" si="5"/>
        <v>#N/A</v>
      </c>
      <c r="AL23" s="9" t="e">
        <f t="shared" ca="1" si="6"/>
        <v>#N/A</v>
      </c>
      <c r="AM23" s="198" t="e">
        <f t="shared" ca="1" si="3"/>
        <v>#N/A</v>
      </c>
    </row>
    <row r="24" spans="1:39" ht="18" customHeight="1" x14ac:dyDescent="0.15">
      <c r="A24" s="199">
        <v>4</v>
      </c>
      <c r="B24" s="200">
        <f>'5チーム2回戦総当たりスケジュール作業表'!$B$9</f>
        <v>45211</v>
      </c>
      <c r="C24" s="201" t="str">
        <f>'5チーム2回戦総当たりスケジュール作業表'!$P$1</f>
        <v>西</v>
      </c>
      <c r="D24" s="202">
        <f t="shared" ca="1" si="4"/>
        <v>122</v>
      </c>
      <c r="E24" s="203" t="str">
        <f ca="1">OFFSET('5チーム2回戦総当たりスケジュール作業表'!$B$5,4,5)</f>
        <v>うなぎ</v>
      </c>
      <c r="F24" s="204">
        <v>5</v>
      </c>
      <c r="G24" s="205" t="s">
        <v>0</v>
      </c>
      <c r="H24" s="206">
        <v>1</v>
      </c>
      <c r="I24" s="203" t="str">
        <f ca="1">OFFSET('5チーム2回戦総当たりスケジュール作業表'!$B$5,4,6)</f>
        <v>T-25</v>
      </c>
      <c r="J24" s="173" t="str">
        <f t="shared" ca="1" si="0"/>
        <v>うなぎT-25</v>
      </c>
      <c r="K24" s="192">
        <f ca="1">OFFSET('5チーム2回戦総当たりスケジュール作業表'!$B$5,4,17)</f>
        <v>0</v>
      </c>
      <c r="L24" s="193">
        <f ca="1">OFFSET('5チーム2回戦総当たりスケジュール作業表'!$B$5,4,18)</f>
        <v>0</v>
      </c>
      <c r="M24" s="209">
        <f t="shared" si="1"/>
        <v>4</v>
      </c>
      <c r="N24" s="9"/>
      <c r="S24" s="223"/>
      <c r="T24" s="223"/>
      <c r="AG24" s="181" t="str">
        <f t="shared" si="2"/>
        <v>Etelia0</v>
      </c>
      <c r="AH24" s="9">
        <v>21</v>
      </c>
      <c r="AI24" s="9" t="str">
        <f>'5チーム2回戦総当たりスケジュール作業表'!$X$7</f>
        <v>Etelia</v>
      </c>
      <c r="AJ24" s="9">
        <f>'5チーム2回戦総当たりスケジュール作業表'!$X$13</f>
        <v>0</v>
      </c>
      <c r="AK24" s="9" t="e">
        <f t="shared" ca="1" si="5"/>
        <v>#N/A</v>
      </c>
      <c r="AL24" s="9" t="e">
        <f t="shared" ca="1" si="6"/>
        <v>#N/A</v>
      </c>
      <c r="AM24" s="198" t="e">
        <f t="shared" ca="1" si="3"/>
        <v>#N/A</v>
      </c>
    </row>
    <row r="25" spans="1:39" ht="18" hidden="1" customHeight="1" x14ac:dyDescent="0.15">
      <c r="A25" s="210">
        <v>4</v>
      </c>
      <c r="B25" s="211">
        <f>'5チーム2回戦総当たりスケジュール作業表'!$B$9</f>
        <v>45211</v>
      </c>
      <c r="C25" s="212" t="str">
        <f>'5チーム2回戦総当たりスケジュール作業表'!$P$1</f>
        <v>西</v>
      </c>
      <c r="D25" s="213">
        <f t="shared" ca="1" si="4"/>
        <v>66</v>
      </c>
      <c r="E25" s="214">
        <f ca="1">OFFSET('5チーム2回戦総当たりスケジュール作業表'!$B$5,4,7)</f>
        <v>0</v>
      </c>
      <c r="F25" s="215"/>
      <c r="G25" s="216" t="s">
        <v>0</v>
      </c>
      <c r="H25" s="217"/>
      <c r="I25" s="214">
        <f ca="1">OFFSET('5チーム2回戦総当たりスケジュール作業表'!$B$5,4,8)</f>
        <v>0</v>
      </c>
      <c r="J25" s="191" t="str">
        <f t="shared" ca="1" si="0"/>
        <v>00</v>
      </c>
      <c r="K25" s="192"/>
      <c r="L25" s="193"/>
      <c r="M25" s="209">
        <f t="shared" si="1"/>
        <v>4</v>
      </c>
      <c r="N25" s="9"/>
      <c r="S25" s="223"/>
      <c r="T25" s="223"/>
      <c r="AG25" s="181" t="str">
        <f t="shared" si="2"/>
        <v>Etelia0</v>
      </c>
      <c r="AH25" s="9">
        <v>22</v>
      </c>
      <c r="AI25" s="9" t="str">
        <f>'5チーム2回戦総当たりスケジュール作業表'!$X$7</f>
        <v>Etelia</v>
      </c>
      <c r="AJ25" s="9">
        <f>'5チーム2回戦総当たりスケジュール作業表'!$X$14</f>
        <v>0</v>
      </c>
      <c r="AK25" s="9" t="e">
        <f t="shared" ca="1" si="5"/>
        <v>#N/A</v>
      </c>
      <c r="AL25" s="9" t="e">
        <f t="shared" ca="1" si="6"/>
        <v>#N/A</v>
      </c>
      <c r="AM25" s="198" t="e">
        <f t="shared" ca="1" si="3"/>
        <v>#N/A</v>
      </c>
    </row>
    <row r="26" spans="1:39" ht="18" hidden="1" customHeight="1" x14ac:dyDescent="0.15">
      <c r="A26" s="199">
        <v>4</v>
      </c>
      <c r="B26" s="200">
        <f>'5チーム2回戦総当たりスケジュール作業表'!$B$9</f>
        <v>45211</v>
      </c>
      <c r="C26" s="201" t="str">
        <f>'5チーム2回戦総当たりスケジュール作業表'!$P$1</f>
        <v>西</v>
      </c>
      <c r="D26" s="202">
        <f t="shared" ca="1" si="4"/>
        <v>44</v>
      </c>
      <c r="E26" s="203" t="str">
        <f ca="1">OFFSET('5チーム2回戦総当たりスケジュール作業表'!$B$5,4,9)</f>
        <v>飛杉田新地</v>
      </c>
      <c r="F26" s="204"/>
      <c r="G26" s="205" t="s">
        <v>0</v>
      </c>
      <c r="H26" s="206"/>
      <c r="I26" s="203">
        <f ca="1">OFFSET('5チーム2回戦総当たりスケジュール作業表'!$B$5,4,10)</f>
        <v>0</v>
      </c>
      <c r="J26" s="173" t="str">
        <f t="shared" ca="1" si="0"/>
        <v>飛杉田新地0</v>
      </c>
      <c r="K26" s="192"/>
      <c r="L26" s="193"/>
      <c r="M26" s="209">
        <f t="shared" si="1"/>
        <v>4</v>
      </c>
      <c r="N26" s="9"/>
      <c r="S26" s="223"/>
      <c r="T26" s="223"/>
      <c r="AG26" s="181" t="str">
        <f t="shared" si="2"/>
        <v>Etelia0</v>
      </c>
      <c r="AH26" s="9">
        <v>23</v>
      </c>
      <c r="AI26" s="9" t="str">
        <f>'5チーム2回戦総当たりスケジュール作業表'!$X$7</f>
        <v>Etelia</v>
      </c>
      <c r="AJ26" s="9">
        <f>'5チーム2回戦総当たりスケジュール作業表'!$X$15</f>
        <v>0</v>
      </c>
      <c r="AK26" s="9" t="e">
        <f t="shared" ca="1" si="5"/>
        <v>#N/A</v>
      </c>
      <c r="AL26" s="9" t="e">
        <f t="shared" ca="1" si="6"/>
        <v>#N/A</v>
      </c>
      <c r="AM26" s="198" t="e">
        <f t="shared" ca="1" si="3"/>
        <v>#N/A</v>
      </c>
    </row>
    <row r="27" spans="1:39" ht="18" hidden="1" customHeight="1" x14ac:dyDescent="0.15">
      <c r="A27" s="210">
        <v>4</v>
      </c>
      <c r="B27" s="211">
        <f>'5チーム2回戦総当たりスケジュール作業表'!$B$9</f>
        <v>45211</v>
      </c>
      <c r="C27" s="212" t="str">
        <f>'5チーム2回戦総当たりスケジュール作業表'!$P$1</f>
        <v>西</v>
      </c>
      <c r="D27" s="213">
        <f t="shared" ca="1" si="4"/>
        <v>66</v>
      </c>
      <c r="E27" s="214">
        <f ca="1">IF(I27=0,0,OFFSET('5チーム2回戦総当たりスケジュール作業表'!$B$5,4,11))</f>
        <v>0</v>
      </c>
      <c r="F27" s="215"/>
      <c r="G27" s="216" t="s">
        <v>0</v>
      </c>
      <c r="H27" s="217"/>
      <c r="I27" s="214">
        <f ca="1">OFFSET('5チーム2回戦総当たりスケジュール作業表'!$B$5,4,12)</f>
        <v>0</v>
      </c>
      <c r="J27" s="191" t="str">
        <f t="shared" ca="1" si="0"/>
        <v>00</v>
      </c>
      <c r="K27" s="192"/>
      <c r="L27" s="193"/>
      <c r="M27" s="209">
        <f t="shared" si="1"/>
        <v>4</v>
      </c>
      <c r="N27" s="9"/>
      <c r="S27" s="223"/>
      <c r="T27" s="223"/>
      <c r="AG27" s="181" t="str">
        <f t="shared" si="2"/>
        <v>Etelia0</v>
      </c>
      <c r="AH27" s="9">
        <v>24</v>
      </c>
      <c r="AI27" s="9" t="str">
        <f>'5チーム2回戦総当たりスケジュール作業表'!$X$7</f>
        <v>Etelia</v>
      </c>
      <c r="AJ27" s="9">
        <f>'5チーム2回戦総当たりスケジュール作業表'!$X$16</f>
        <v>0</v>
      </c>
      <c r="AK27" s="9" t="e">
        <f t="shared" ca="1" si="5"/>
        <v>#N/A</v>
      </c>
      <c r="AL27" s="9" t="e">
        <f t="shared" ca="1" si="6"/>
        <v>#N/A</v>
      </c>
      <c r="AM27" s="198" t="e">
        <f t="shared" ca="1" si="3"/>
        <v>#N/A</v>
      </c>
    </row>
    <row r="28" spans="1:39" ht="18" customHeight="1" x14ac:dyDescent="0.15">
      <c r="A28" s="165">
        <v>5</v>
      </c>
      <c r="B28" s="166">
        <f>'5チーム2回戦総当たりスケジュール作業表'!$B$10</f>
        <v>45218</v>
      </c>
      <c r="C28" s="167" t="str">
        <f>'5チーム2回戦総当たりスケジュール作業表'!$P$1</f>
        <v>西</v>
      </c>
      <c r="D28" s="168">
        <f t="shared" ca="1" si="4"/>
        <v>43</v>
      </c>
      <c r="E28" s="169" t="str">
        <f ca="1">OFFSET('5チーム2回戦総当たりスケジュール作業表'!$B$5,5,1)</f>
        <v>飛杉田新地</v>
      </c>
      <c r="F28" s="170">
        <v>8</v>
      </c>
      <c r="G28" s="171" t="s">
        <v>0</v>
      </c>
      <c r="H28" s="172">
        <v>11</v>
      </c>
      <c r="I28" s="169" t="str">
        <f ca="1">OFFSET('5チーム2回戦総当たりスケジュール作業表'!$B$5,5,2)</f>
        <v>PURE</v>
      </c>
      <c r="J28" s="173" t="str">
        <f t="shared" ca="1" si="0"/>
        <v>飛杉田新地PURE</v>
      </c>
      <c r="K28" s="207">
        <f ca="1">IF(I33=0,OFFSET('5チーム2回戦総当たりスケジュール作業表'!$B$5,5,11),0)</f>
        <v>0</v>
      </c>
      <c r="L28" s="208">
        <f ca="1">OFFSET('5チーム2回戦総当たりスケジュール作業表'!$B$5,5,12)</f>
        <v>0</v>
      </c>
      <c r="M28" s="176">
        <f t="shared" si="1"/>
        <v>5</v>
      </c>
      <c r="N28" s="9"/>
      <c r="S28" s="223"/>
      <c r="T28" s="223"/>
      <c r="AG28" s="181" t="str">
        <f t="shared" si="2"/>
        <v>Etelia0</v>
      </c>
      <c r="AH28" s="9">
        <v>25</v>
      </c>
      <c r="AI28" s="9" t="str">
        <f>'5チーム2回戦総当たりスケジュール作業表'!$X$7</f>
        <v>Etelia</v>
      </c>
      <c r="AJ28" s="9">
        <f>'5チーム2回戦総当たりスケジュール作業表'!$X$17</f>
        <v>0</v>
      </c>
      <c r="AK28" s="9" t="e">
        <f t="shared" ca="1" si="5"/>
        <v>#N/A</v>
      </c>
      <c r="AL28" s="9" t="e">
        <f t="shared" ca="1" si="6"/>
        <v>#N/A</v>
      </c>
      <c r="AM28" s="198" t="e">
        <f t="shared" ca="1" si="3"/>
        <v>#N/A</v>
      </c>
    </row>
    <row r="29" spans="1:39" ht="18" hidden="1" customHeight="1" x14ac:dyDescent="0.15">
      <c r="A29" s="183">
        <v>5</v>
      </c>
      <c r="B29" s="184">
        <f>'5チーム2回戦総当たりスケジュール作業表'!$B$10</f>
        <v>45218</v>
      </c>
      <c r="C29" s="185" t="str">
        <f>'5チーム2回戦総当たりスケジュール作業表'!$P$1</f>
        <v>西</v>
      </c>
      <c r="D29" s="186">
        <f t="shared" ca="1" si="4"/>
        <v>66</v>
      </c>
      <c r="E29" s="187">
        <f ca="1">OFFSET('5チーム2回戦総当たりスケジュール作業表'!$B$5,5,3)</f>
        <v>0</v>
      </c>
      <c r="F29" s="188"/>
      <c r="G29" s="189" t="s">
        <v>0</v>
      </c>
      <c r="H29" s="190"/>
      <c r="I29" s="187">
        <f ca="1">OFFSET('5チーム2回戦総当たりスケジュール作業表'!$B$5,5,4)</f>
        <v>0</v>
      </c>
      <c r="J29" s="191" t="str">
        <f t="shared" ca="1" si="0"/>
        <v>00</v>
      </c>
      <c r="K29" s="192">
        <f ca="1">OFFSET('5チーム2回戦総当たりスケジュール作業表'!$B$5,5,15)</f>
        <v>0</v>
      </c>
      <c r="L29" s="193">
        <f ca="1">OFFSET('5チーム2回戦総当たりスケジュール作業表'!$B$5,5,16)</f>
        <v>0</v>
      </c>
      <c r="M29" s="176">
        <f t="shared" si="1"/>
        <v>5</v>
      </c>
      <c r="N29" s="9"/>
      <c r="S29" s="223"/>
      <c r="T29" s="223"/>
      <c r="AG29" s="181" t="str">
        <f t="shared" si="2"/>
        <v>Etelia0</v>
      </c>
      <c r="AH29" s="9">
        <v>26</v>
      </c>
      <c r="AI29" s="9" t="str">
        <f>'5チーム2回戦総当たりスケジュール作業表'!$X$7</f>
        <v>Etelia</v>
      </c>
      <c r="AJ29" s="9">
        <f>'5チーム2回戦総当たりスケジュール作業表'!$X$18</f>
        <v>0</v>
      </c>
      <c r="AK29" s="9" t="e">
        <f t="shared" ca="1" si="5"/>
        <v>#N/A</v>
      </c>
      <c r="AL29" s="9" t="e">
        <f t="shared" ca="1" si="6"/>
        <v>#N/A</v>
      </c>
      <c r="AM29" s="198" t="e">
        <f t="shared" ca="1" si="3"/>
        <v>#N/A</v>
      </c>
    </row>
    <row r="30" spans="1:39" ht="18" customHeight="1" x14ac:dyDescent="0.15">
      <c r="A30" s="165">
        <v>5</v>
      </c>
      <c r="B30" s="166">
        <f>'5チーム2回戦総当たりスケジュール作業表'!$B$10</f>
        <v>45218</v>
      </c>
      <c r="C30" s="167" t="str">
        <f>'5チーム2回戦総当たりスケジュール作業表'!$P$1</f>
        <v>西</v>
      </c>
      <c r="D30" s="168">
        <f t="shared" ca="1" si="4"/>
        <v>16</v>
      </c>
      <c r="E30" s="169" t="str">
        <f ca="1">OFFSET('5チーム2回戦総当たりスケジュール作業表'!$B$5,5,5)</f>
        <v>Etelia</v>
      </c>
      <c r="F30" s="170">
        <v>12</v>
      </c>
      <c r="G30" s="171" t="s">
        <v>0</v>
      </c>
      <c r="H30" s="172">
        <v>4</v>
      </c>
      <c r="I30" s="169" t="str">
        <f ca="1">OFFSET('5チーム2回戦総当たりスケジュール作業表'!$B$5,5,6)</f>
        <v>うなぎ</v>
      </c>
      <c r="J30" s="173" t="str">
        <f t="shared" ca="1" si="0"/>
        <v>Eteliaうなぎ</v>
      </c>
      <c r="K30" s="192">
        <f ca="1">OFFSET('5チーム2回戦総当たりスケジュール作業表'!$B$5,5,17)</f>
        <v>0</v>
      </c>
      <c r="L30" s="193">
        <f ca="1">OFFSET('5チーム2回戦総当たりスケジュール作業表'!$B$5,5,18)</f>
        <v>0</v>
      </c>
      <c r="M30" s="176">
        <f t="shared" si="1"/>
        <v>5</v>
      </c>
      <c r="N30" s="9"/>
      <c r="S30" s="223"/>
      <c r="T30" s="223"/>
      <c r="AG30" s="181" t="str">
        <f t="shared" si="2"/>
        <v>Etelia0</v>
      </c>
      <c r="AH30" s="9">
        <v>27</v>
      </c>
      <c r="AI30" s="9" t="str">
        <f>'5チーム2回戦総当たりスケジュール作業表'!$X$7</f>
        <v>Etelia</v>
      </c>
      <c r="AJ30" s="9">
        <f>'5チーム2回戦総当たりスケジュール作業表'!$X$19</f>
        <v>0</v>
      </c>
      <c r="AK30" s="9" t="e">
        <f t="shared" ca="1" si="5"/>
        <v>#N/A</v>
      </c>
      <c r="AL30" s="9" t="e">
        <f t="shared" ca="1" si="6"/>
        <v>#N/A</v>
      </c>
      <c r="AM30" s="198" t="e">
        <f t="shared" ca="1" si="3"/>
        <v>#N/A</v>
      </c>
    </row>
    <row r="31" spans="1:39" ht="18" hidden="1" customHeight="1" x14ac:dyDescent="0.15">
      <c r="A31" s="183">
        <v>5</v>
      </c>
      <c r="B31" s="184">
        <f>'5チーム2回戦総当たりスケジュール作業表'!$B$10</f>
        <v>45218</v>
      </c>
      <c r="C31" s="185" t="str">
        <f>'5チーム2回戦総当たりスケジュール作業表'!$P$1</f>
        <v>西</v>
      </c>
      <c r="D31" s="186">
        <f t="shared" ca="1" si="4"/>
        <v>66</v>
      </c>
      <c r="E31" s="187">
        <f ca="1">OFFSET('5チーム2回戦総当たりスケジュール作業表'!$B$5,5,7)</f>
        <v>0</v>
      </c>
      <c r="F31" s="188"/>
      <c r="G31" s="189" t="s">
        <v>0</v>
      </c>
      <c r="H31" s="190"/>
      <c r="I31" s="187">
        <f ca="1">OFFSET('5チーム2回戦総当たりスケジュール作業表'!$B$5,5,8)</f>
        <v>0</v>
      </c>
      <c r="J31" s="191" t="str">
        <f t="shared" ca="1" si="0"/>
        <v>00</v>
      </c>
      <c r="K31" s="192"/>
      <c r="L31" s="193"/>
      <c r="M31" s="176">
        <f t="shared" si="1"/>
        <v>5</v>
      </c>
      <c r="N31" s="9"/>
      <c r="S31" s="223"/>
      <c r="T31" s="223"/>
      <c r="AG31" s="181" t="str">
        <f t="shared" si="2"/>
        <v>Etelia0</v>
      </c>
      <c r="AH31" s="9">
        <v>28</v>
      </c>
      <c r="AI31" s="9" t="str">
        <f>'5チーム2回戦総当たりスケジュール作業表'!$X$7</f>
        <v>Etelia</v>
      </c>
      <c r="AJ31" s="9">
        <f>'5チーム2回戦総当たりスケジュール作業表'!$X$20</f>
        <v>0</v>
      </c>
      <c r="AK31" s="9" t="e">
        <f t="shared" ca="1" si="5"/>
        <v>#N/A</v>
      </c>
      <c r="AL31" s="9" t="e">
        <f t="shared" ca="1" si="6"/>
        <v>#N/A</v>
      </c>
      <c r="AM31" s="198" t="e">
        <f t="shared" ca="1" si="3"/>
        <v>#N/A</v>
      </c>
    </row>
    <row r="32" spans="1:39" ht="18" hidden="1" customHeight="1" x14ac:dyDescent="0.15">
      <c r="A32" s="165">
        <v>5</v>
      </c>
      <c r="B32" s="166">
        <f>'5チーム2回戦総当たりスケジュール作業表'!$B$10</f>
        <v>45218</v>
      </c>
      <c r="C32" s="167" t="str">
        <f>'5チーム2回戦総当たりスケジュール作業表'!$P$1</f>
        <v>西</v>
      </c>
      <c r="D32" s="168">
        <f t="shared" ca="1" si="4"/>
        <v>5</v>
      </c>
      <c r="E32" s="169" t="str">
        <f ca="1">OFFSET('5チーム2回戦総当たりスケジュール作業表'!$B$5,5,9)</f>
        <v>T-25</v>
      </c>
      <c r="F32" s="170"/>
      <c r="G32" s="171" t="s">
        <v>0</v>
      </c>
      <c r="H32" s="172"/>
      <c r="I32" s="169">
        <f ca="1">OFFSET('5チーム2回戦総当たりスケジュール作業表'!$B$5,5,10)</f>
        <v>0</v>
      </c>
      <c r="J32" s="173" t="str">
        <f t="shared" ca="1" si="0"/>
        <v>T-250</v>
      </c>
      <c r="K32" s="192"/>
      <c r="L32" s="193"/>
      <c r="M32" s="176">
        <f t="shared" si="1"/>
        <v>5</v>
      </c>
      <c r="N32" s="9"/>
      <c r="S32" s="223"/>
      <c r="T32" s="223"/>
      <c r="AG32" s="181" t="str">
        <f t="shared" si="2"/>
        <v>Etelia0</v>
      </c>
      <c r="AH32" s="9">
        <v>29</v>
      </c>
      <c r="AI32" s="9" t="str">
        <f>'5チーム2回戦総当たりスケジュール作業表'!$X$7</f>
        <v>Etelia</v>
      </c>
      <c r="AJ32" s="9">
        <f>'5チーム2回戦総当たりスケジュール作業表'!$X$21</f>
        <v>0</v>
      </c>
      <c r="AK32" s="9" t="e">
        <f t="shared" ca="1" si="5"/>
        <v>#N/A</v>
      </c>
      <c r="AL32" s="9" t="e">
        <f t="shared" ca="1" si="6"/>
        <v>#N/A</v>
      </c>
      <c r="AM32" s="198" t="e">
        <f t="shared" ca="1" si="3"/>
        <v>#N/A</v>
      </c>
    </row>
    <row r="33" spans="1:39" ht="18" hidden="1" customHeight="1" x14ac:dyDescent="0.15">
      <c r="A33" s="183">
        <v>5</v>
      </c>
      <c r="B33" s="184">
        <f>'5チーム2回戦総当たりスケジュール作業表'!$B$10</f>
        <v>45218</v>
      </c>
      <c r="C33" s="185" t="str">
        <f>'5チーム2回戦総当たりスケジュール作業表'!$P$1</f>
        <v>西</v>
      </c>
      <c r="D33" s="186">
        <f t="shared" ca="1" si="4"/>
        <v>66</v>
      </c>
      <c r="E33" s="187">
        <f ca="1">IF(I33=0,0,OFFSET('5チーム2回戦総当たりスケジュール作業表'!$B$5,5,11))</f>
        <v>0</v>
      </c>
      <c r="F33" s="188"/>
      <c r="G33" s="189" t="s">
        <v>0</v>
      </c>
      <c r="H33" s="190"/>
      <c r="I33" s="187">
        <f ca="1">OFFSET('5チーム2回戦総当たりスケジュール作業表'!$B$5,5,12)</f>
        <v>0</v>
      </c>
      <c r="J33" s="191" t="str">
        <f t="shared" ca="1" si="0"/>
        <v>00</v>
      </c>
      <c r="K33" s="192"/>
      <c r="L33" s="193"/>
      <c r="M33" s="176">
        <f t="shared" si="1"/>
        <v>5</v>
      </c>
      <c r="N33" s="9"/>
      <c r="S33" s="223"/>
      <c r="T33" s="223"/>
      <c r="AG33" s="181" t="str">
        <f t="shared" si="2"/>
        <v>うなぎ飛杉田新地</v>
      </c>
      <c r="AH33" s="9">
        <v>30</v>
      </c>
      <c r="AI33" s="9" t="str">
        <f>'5チーム2回戦総当たりスケジュール作業表'!$X$8</f>
        <v>うなぎ</v>
      </c>
      <c r="AJ33" s="9" t="str">
        <f>'5チーム2回戦総当たりスケジュール作業表'!$X$9</f>
        <v>飛杉田新地</v>
      </c>
      <c r="AK33" s="9">
        <f t="shared" ca="1" si="5"/>
        <v>6</v>
      </c>
      <c r="AL33" s="9">
        <f t="shared" ca="1" si="6"/>
        <v>7</v>
      </c>
      <c r="AM33" s="198">
        <f t="shared" ca="1" si="3"/>
        <v>1</v>
      </c>
    </row>
    <row r="34" spans="1:39" ht="18" customHeight="1" x14ac:dyDescent="0.15">
      <c r="A34" s="199">
        <v>6</v>
      </c>
      <c r="B34" s="200">
        <f>'5チーム2回戦総当たりスケジュール作業表'!$B$11</f>
        <v>45225</v>
      </c>
      <c r="C34" s="201" t="str">
        <f>'5チーム2回戦総当たりスケジュール作業表'!$P$1</f>
        <v>西</v>
      </c>
      <c r="D34" s="202">
        <f t="shared" ca="1" si="4"/>
        <v>121</v>
      </c>
      <c r="E34" s="203" t="str">
        <f ca="1">OFFSET('5チーム2回戦総当たりスケジュール作業表'!$B$5,6,1)</f>
        <v>Etelia</v>
      </c>
      <c r="F34" s="204">
        <v>7</v>
      </c>
      <c r="G34" s="205" t="s">
        <v>0</v>
      </c>
      <c r="H34" s="206">
        <v>4</v>
      </c>
      <c r="I34" s="203" t="str">
        <f ca="1">OFFSET('5チーム2回戦総当たりスケジュール作業表'!$B$5,6,2)</f>
        <v>T-25</v>
      </c>
      <c r="J34" s="173" t="str">
        <f t="shared" ca="1" si="0"/>
        <v>EteliaT-25</v>
      </c>
      <c r="K34" s="207">
        <f ca="1">IF(I39=0,OFFSET('5チーム2回戦総当たりスケジュール作業表'!$B$5,6,11),0)</f>
        <v>0</v>
      </c>
      <c r="L34" s="208">
        <f ca="1">OFFSET('5チーム2回戦総当たりスケジュール作業表'!$B$5,6,12)</f>
        <v>0</v>
      </c>
      <c r="M34" s="209">
        <f t="shared" si="1"/>
        <v>6</v>
      </c>
      <c r="N34" s="9"/>
      <c r="S34" s="223"/>
      <c r="T34" s="223"/>
      <c r="AG34" s="181" t="str">
        <f t="shared" si="2"/>
        <v>うなぎPURE</v>
      </c>
      <c r="AH34" s="9">
        <v>31</v>
      </c>
      <c r="AI34" s="9" t="str">
        <f>'5チーム2回戦総当たりスケジュール作業表'!$X$8</f>
        <v>うなぎ</v>
      </c>
      <c r="AJ34" s="9" t="str">
        <f>'5チーム2回戦総当たりスケジュール作業表'!$X$10</f>
        <v>PURE</v>
      </c>
      <c r="AK34" s="9">
        <f t="shared" ca="1" si="5"/>
        <v>8</v>
      </c>
      <c r="AL34" s="9">
        <f t="shared" ca="1" si="6"/>
        <v>1</v>
      </c>
      <c r="AM34" s="198">
        <f t="shared" ca="1" si="3"/>
        <v>3</v>
      </c>
    </row>
    <row r="35" spans="1:39" ht="18" hidden="1" customHeight="1" x14ac:dyDescent="0.15">
      <c r="A35" s="210">
        <v>6</v>
      </c>
      <c r="B35" s="211">
        <f>'5チーム2回戦総当たりスケジュール作業表'!$B$11</f>
        <v>45225</v>
      </c>
      <c r="C35" s="212" t="str">
        <f>'5チーム2回戦総当たりスケジュール作業表'!$P$1</f>
        <v>西</v>
      </c>
      <c r="D35" s="213">
        <f t="shared" ca="1" si="4"/>
        <v>66</v>
      </c>
      <c r="E35" s="214">
        <f ca="1">OFFSET('5チーム2回戦総当たりスケジュール作業表'!$B$5,6,3)</f>
        <v>0</v>
      </c>
      <c r="F35" s="215"/>
      <c r="G35" s="216" t="s">
        <v>0</v>
      </c>
      <c r="H35" s="217"/>
      <c r="I35" s="214">
        <f ca="1">OFFSET('5チーム2回戦総当たりスケジュール作業表'!$B$5,6,4)</f>
        <v>0</v>
      </c>
      <c r="J35" s="191" t="str">
        <f t="shared" ca="1" si="0"/>
        <v>00</v>
      </c>
      <c r="K35" s="192">
        <f ca="1">OFFSET('5チーム2回戦総当たりスケジュール作業表'!$B$5,6,15)</f>
        <v>0</v>
      </c>
      <c r="L35" s="193">
        <f ca="1">OFFSET('5チーム2回戦総当たりスケジュール作業表'!$B$5,6,16)</f>
        <v>0</v>
      </c>
      <c r="M35" s="209">
        <f t="shared" si="1"/>
        <v>6</v>
      </c>
      <c r="N35" s="9"/>
      <c r="S35" s="223"/>
      <c r="T35" s="223"/>
      <c r="AG35" s="181" t="str">
        <f t="shared" si="2"/>
        <v>うなぎ0</v>
      </c>
      <c r="AH35" s="9">
        <v>32</v>
      </c>
      <c r="AI35" s="9" t="str">
        <f>'5チーム2回戦総当たりスケジュール作業表'!$X$8</f>
        <v>うなぎ</v>
      </c>
      <c r="AJ35" s="9">
        <f>'5チーム2回戦総当たりスケジュール作業表'!$X$11</f>
        <v>0</v>
      </c>
      <c r="AK35" s="9" t="str">
        <f t="shared" ca="1" si="5"/>
        <v/>
      </c>
      <c r="AL35" s="9" t="str">
        <f t="shared" ca="1" si="6"/>
        <v/>
      </c>
      <c r="AM35" s="198">
        <f t="shared" ca="1" si="3"/>
        <v>2</v>
      </c>
    </row>
    <row r="36" spans="1:39" ht="18" customHeight="1" x14ac:dyDescent="0.15">
      <c r="A36" s="199">
        <v>6</v>
      </c>
      <c r="B36" s="200">
        <f>'5チーム2回戦総当たりスケジュール作業表'!$B$11</f>
        <v>45225</v>
      </c>
      <c r="C36" s="201" t="str">
        <f>'5チーム2回戦総当たりスケジュール作業表'!$P$1</f>
        <v>西</v>
      </c>
      <c r="D36" s="202">
        <f t="shared" ca="1" si="4"/>
        <v>150</v>
      </c>
      <c r="E36" s="203" t="str">
        <f ca="1">OFFSET('5チーム2回戦総当たりスケジュール作業表'!$B$5,6,5)</f>
        <v>飛杉田新地</v>
      </c>
      <c r="F36" s="204">
        <v>4</v>
      </c>
      <c r="G36" s="205" t="s">
        <v>0</v>
      </c>
      <c r="H36" s="206">
        <v>10</v>
      </c>
      <c r="I36" s="203" t="str">
        <f ca="1">OFFSET('5チーム2回戦総当たりスケジュール作業表'!$B$5,6,6)</f>
        <v>うなぎ</v>
      </c>
      <c r="J36" s="173" t="str">
        <f t="shared" ref="J36:J67" ca="1" si="7">E36&amp;I36</f>
        <v>飛杉田新地うなぎ</v>
      </c>
      <c r="K36" s="192">
        <f ca="1">OFFSET('5チーム2回戦総当たりスケジュール作業表'!$B$5,6,17)</f>
        <v>0</v>
      </c>
      <c r="L36" s="193">
        <f ca="1">OFFSET('5チーム2回戦総当たりスケジュール作業表'!$B$5,6,18)</f>
        <v>0</v>
      </c>
      <c r="M36" s="209">
        <f t="shared" ref="M36:M67" si="8">A36</f>
        <v>6</v>
      </c>
      <c r="N36" s="9"/>
      <c r="S36" s="223"/>
      <c r="T36" s="223"/>
      <c r="AG36" s="181" t="str">
        <f t="shared" ref="AG36:AG67" si="9">AI36&amp;AJ36</f>
        <v>うなぎ0</v>
      </c>
      <c r="AH36" s="9">
        <v>33</v>
      </c>
      <c r="AI36" s="9" t="str">
        <f>'5チーム2回戦総当たりスケジュール作業表'!$X$8</f>
        <v>うなぎ</v>
      </c>
      <c r="AJ36" s="9">
        <f>'5チーム2回戦総当たりスケジュール作業表'!$X$12</f>
        <v>0</v>
      </c>
      <c r="AK36" s="9" t="e">
        <f t="shared" ca="1" si="5"/>
        <v>#N/A</v>
      </c>
      <c r="AL36" s="9" t="e">
        <f t="shared" ca="1" si="6"/>
        <v>#N/A</v>
      </c>
      <c r="AM36" s="198" t="e">
        <f t="shared" ref="AM36:AM67" ca="1" si="10">VLOOKUP(AH36,$D$4:$M$123,10,0)</f>
        <v>#N/A</v>
      </c>
    </row>
    <row r="37" spans="1:39" ht="18" hidden="1" customHeight="1" x14ac:dyDescent="0.15">
      <c r="A37" s="210">
        <v>6</v>
      </c>
      <c r="B37" s="211">
        <f>'5チーム2回戦総当たりスケジュール作業表'!$B$11</f>
        <v>45225</v>
      </c>
      <c r="C37" s="212" t="str">
        <f>'5チーム2回戦総当たりスケジュール作業表'!$P$1</f>
        <v>西</v>
      </c>
      <c r="D37" s="213">
        <f t="shared" ca="1" si="4"/>
        <v>66</v>
      </c>
      <c r="E37" s="214">
        <f ca="1">OFFSET('5チーム2回戦総当たりスケジュール作業表'!$B$5,6,7)</f>
        <v>0</v>
      </c>
      <c r="F37" s="215"/>
      <c r="G37" s="216" t="s">
        <v>0</v>
      </c>
      <c r="H37" s="217"/>
      <c r="I37" s="214">
        <f ca="1">OFFSET('5チーム2回戦総当たりスケジュール作業表'!$B$5,6,8)</f>
        <v>0</v>
      </c>
      <c r="J37" s="191" t="str">
        <f t="shared" ca="1" si="7"/>
        <v>00</v>
      </c>
      <c r="K37" s="192"/>
      <c r="L37" s="193"/>
      <c r="M37" s="209">
        <f t="shared" si="8"/>
        <v>6</v>
      </c>
      <c r="N37" s="9"/>
      <c r="S37" s="223"/>
      <c r="T37" s="223"/>
      <c r="AG37" s="181" t="str">
        <f t="shared" si="9"/>
        <v>うなぎ0</v>
      </c>
      <c r="AH37" s="9">
        <v>34</v>
      </c>
      <c r="AI37" s="9" t="str">
        <f>'5チーム2回戦総当たりスケジュール作業表'!$X$8</f>
        <v>うなぎ</v>
      </c>
      <c r="AJ37" s="9">
        <f>'5チーム2回戦総当たりスケジュール作業表'!$X$13</f>
        <v>0</v>
      </c>
      <c r="AK37" s="9" t="e">
        <f t="shared" ca="1" si="5"/>
        <v>#N/A</v>
      </c>
      <c r="AL37" s="9" t="e">
        <f t="shared" ca="1" si="6"/>
        <v>#N/A</v>
      </c>
      <c r="AM37" s="198" t="e">
        <f t="shared" ca="1" si="10"/>
        <v>#N/A</v>
      </c>
    </row>
    <row r="38" spans="1:39" ht="18" hidden="1" customHeight="1" x14ac:dyDescent="0.15">
      <c r="A38" s="199">
        <v>6</v>
      </c>
      <c r="B38" s="200">
        <f>'5チーム2回戦総当たりスケジュール作業表'!$B$11</f>
        <v>45225</v>
      </c>
      <c r="C38" s="201" t="str">
        <f>'5チーム2回戦総当たりスケジュール作業表'!$P$1</f>
        <v>西</v>
      </c>
      <c r="D38" s="202">
        <f t="shared" ca="1" si="4"/>
        <v>55</v>
      </c>
      <c r="E38" s="203" t="str">
        <f ca="1">OFFSET('5チーム2回戦総当たりスケジュール作業表'!$B$5,6,9)</f>
        <v>PURE</v>
      </c>
      <c r="F38" s="204"/>
      <c r="G38" s="205" t="s">
        <v>0</v>
      </c>
      <c r="H38" s="206"/>
      <c r="I38" s="203">
        <f ca="1">OFFSET('5チーム2回戦総当たりスケジュール作業表'!$B$5,6,10)</f>
        <v>0</v>
      </c>
      <c r="J38" s="173" t="str">
        <f t="shared" ca="1" si="7"/>
        <v>PURE0</v>
      </c>
      <c r="K38" s="192"/>
      <c r="L38" s="193"/>
      <c r="M38" s="209">
        <f t="shared" si="8"/>
        <v>6</v>
      </c>
      <c r="N38" s="9"/>
      <c r="S38" s="223"/>
      <c r="T38" s="223"/>
      <c r="AG38" s="181" t="str">
        <f t="shared" si="9"/>
        <v>うなぎ0</v>
      </c>
      <c r="AH38" s="9">
        <v>35</v>
      </c>
      <c r="AI38" s="9" t="str">
        <f>'5チーム2回戦総当たりスケジュール作業表'!$X$8</f>
        <v>うなぎ</v>
      </c>
      <c r="AJ38" s="9">
        <f>'5チーム2回戦総当たりスケジュール作業表'!$X$14</f>
        <v>0</v>
      </c>
      <c r="AK38" s="9" t="e">
        <f t="shared" ca="1" si="5"/>
        <v>#N/A</v>
      </c>
      <c r="AL38" s="9" t="e">
        <f t="shared" ca="1" si="6"/>
        <v>#N/A</v>
      </c>
      <c r="AM38" s="198" t="e">
        <f t="shared" ca="1" si="10"/>
        <v>#N/A</v>
      </c>
    </row>
    <row r="39" spans="1:39" ht="18" hidden="1" customHeight="1" x14ac:dyDescent="0.15">
      <c r="A39" s="210">
        <v>6</v>
      </c>
      <c r="B39" s="211">
        <f>'5チーム2回戦総当たりスケジュール作業表'!$B$11</f>
        <v>45225</v>
      </c>
      <c r="C39" s="212" t="str">
        <f>'5チーム2回戦総当たりスケジュール作業表'!$P$1</f>
        <v>西</v>
      </c>
      <c r="D39" s="213">
        <f t="shared" ca="1" si="4"/>
        <v>66</v>
      </c>
      <c r="E39" s="214">
        <f ca="1">IF(I39=0,0,OFFSET('5チーム2回戦総当たりスケジュール作業表'!$B$5,6,11))</f>
        <v>0</v>
      </c>
      <c r="F39" s="215"/>
      <c r="G39" s="216" t="s">
        <v>0</v>
      </c>
      <c r="H39" s="217"/>
      <c r="I39" s="214">
        <f ca="1">OFFSET('5チーム2回戦総当たりスケジュール作業表'!$B$5,6,12)</f>
        <v>0</v>
      </c>
      <c r="J39" s="191" t="str">
        <f t="shared" ca="1" si="7"/>
        <v>00</v>
      </c>
      <c r="K39" s="192"/>
      <c r="L39" s="193"/>
      <c r="M39" s="209">
        <f t="shared" si="8"/>
        <v>6</v>
      </c>
      <c r="S39" s="223"/>
      <c r="T39" s="223"/>
      <c r="AG39" s="181" t="str">
        <f t="shared" si="9"/>
        <v>うなぎ0</v>
      </c>
      <c r="AH39" s="9">
        <v>36</v>
      </c>
      <c r="AI39" s="9" t="str">
        <f>'5チーム2回戦総当たりスケジュール作業表'!$X$8</f>
        <v>うなぎ</v>
      </c>
      <c r="AJ39" s="9">
        <f>'5チーム2回戦総当たりスケジュール作業表'!$X$15</f>
        <v>0</v>
      </c>
      <c r="AK39" s="9" t="e">
        <f t="shared" ca="1" si="5"/>
        <v>#N/A</v>
      </c>
      <c r="AL39" s="9" t="e">
        <f t="shared" ca="1" si="6"/>
        <v>#N/A</v>
      </c>
      <c r="AM39" s="198" t="e">
        <f t="shared" ca="1" si="10"/>
        <v>#N/A</v>
      </c>
    </row>
    <row r="40" spans="1:39" ht="18" customHeight="1" x14ac:dyDescent="0.15">
      <c r="A40" s="165">
        <v>7</v>
      </c>
      <c r="B40" s="166">
        <f>'5チーム2回戦総当たりスケジュール作業表'!$B$12</f>
        <v>45232</v>
      </c>
      <c r="C40" s="167" t="str">
        <f>'5チーム2回戦総当たりスケジュール作業表'!$P$1</f>
        <v>西</v>
      </c>
      <c r="D40" s="168">
        <f t="shared" ca="1" si="4"/>
        <v>123</v>
      </c>
      <c r="E40" s="169" t="str">
        <f ca="1">OFFSET('5チーム2回戦総当たりスケジュール作業表'!$B$5,7,1)</f>
        <v>飛杉田新地</v>
      </c>
      <c r="F40" s="170">
        <v>5</v>
      </c>
      <c r="G40" s="171" t="s">
        <v>0</v>
      </c>
      <c r="H40" s="172">
        <v>9</v>
      </c>
      <c r="I40" s="169" t="str">
        <f ca="1">OFFSET('5チーム2回戦総当たりスケジュール作業表'!$B$5,7,2)</f>
        <v>T-25</v>
      </c>
      <c r="J40" s="173" t="str">
        <f t="shared" ca="1" si="7"/>
        <v>飛杉田新地T-25</v>
      </c>
      <c r="K40" s="207">
        <f ca="1">IF(I45=0,OFFSET('5チーム2回戦総当たりスケジュール作業表'!$B$5,7,11),0)</f>
        <v>0</v>
      </c>
      <c r="L40" s="208">
        <f ca="1">OFFSET('5チーム2回戦総当たりスケジュール作業表'!$B$5,7,12)</f>
        <v>0</v>
      </c>
      <c r="M40" s="176">
        <f t="shared" si="8"/>
        <v>7</v>
      </c>
      <c r="S40" s="223"/>
      <c r="T40" s="223"/>
      <c r="AG40" s="181" t="str">
        <f t="shared" si="9"/>
        <v>うなぎ0</v>
      </c>
      <c r="AH40" s="9">
        <v>37</v>
      </c>
      <c r="AI40" s="9" t="str">
        <f>'5チーム2回戦総当たりスケジュール作業表'!$X$8</f>
        <v>うなぎ</v>
      </c>
      <c r="AJ40" s="9">
        <f>'5チーム2回戦総当たりスケジュール作業表'!$X$16</f>
        <v>0</v>
      </c>
      <c r="AK40" s="9" t="e">
        <f t="shared" ca="1" si="5"/>
        <v>#N/A</v>
      </c>
      <c r="AL40" s="9" t="e">
        <f t="shared" ca="1" si="6"/>
        <v>#N/A</v>
      </c>
      <c r="AM40" s="198" t="e">
        <f t="shared" ca="1" si="10"/>
        <v>#N/A</v>
      </c>
    </row>
    <row r="41" spans="1:39" ht="18" hidden="1" customHeight="1" x14ac:dyDescent="0.15">
      <c r="A41" s="183">
        <v>7</v>
      </c>
      <c r="B41" s="184">
        <f>'5チーム2回戦総当たりスケジュール作業表'!$B$12</f>
        <v>45232</v>
      </c>
      <c r="C41" s="185" t="str">
        <f>'5チーム2回戦総当たりスケジュール作業表'!$P$1</f>
        <v>西</v>
      </c>
      <c r="D41" s="186">
        <f t="shared" ca="1" si="4"/>
        <v>66</v>
      </c>
      <c r="E41" s="187">
        <f ca="1">OFFSET('5チーム2回戦総当たりスケジュール作業表'!$B$5,7,3)</f>
        <v>0</v>
      </c>
      <c r="F41" s="188"/>
      <c r="G41" s="189" t="s">
        <v>0</v>
      </c>
      <c r="H41" s="190"/>
      <c r="I41" s="187">
        <f ca="1">OFFSET('5チーム2回戦総当たりスケジュール作業表'!$B$5,7,4)</f>
        <v>0</v>
      </c>
      <c r="J41" s="191" t="str">
        <f t="shared" ca="1" si="7"/>
        <v>00</v>
      </c>
      <c r="K41" s="192">
        <f ca="1">OFFSET('5チーム2回戦総当たりスケジュール作業表'!$B$5,7,15)</f>
        <v>0</v>
      </c>
      <c r="L41" s="193">
        <f ca="1">OFFSET('5チーム2回戦総当たりスケジュール作業表'!$B$5,7,16)</f>
        <v>0</v>
      </c>
      <c r="M41" s="176">
        <f t="shared" si="8"/>
        <v>7</v>
      </c>
      <c r="S41" s="223"/>
      <c r="T41" s="223"/>
      <c r="AG41" s="181" t="str">
        <f t="shared" si="9"/>
        <v>うなぎ0</v>
      </c>
      <c r="AH41" s="9">
        <v>38</v>
      </c>
      <c r="AI41" s="9" t="str">
        <f>'5チーム2回戦総当たりスケジュール作業表'!$X$8</f>
        <v>うなぎ</v>
      </c>
      <c r="AJ41" s="9">
        <f>'5チーム2回戦総当たりスケジュール作業表'!$X$17</f>
        <v>0</v>
      </c>
      <c r="AK41" s="9" t="e">
        <f t="shared" ca="1" si="5"/>
        <v>#N/A</v>
      </c>
      <c r="AL41" s="9" t="e">
        <f t="shared" ca="1" si="6"/>
        <v>#N/A</v>
      </c>
      <c r="AM41" s="198" t="e">
        <f t="shared" ca="1" si="10"/>
        <v>#N/A</v>
      </c>
    </row>
    <row r="42" spans="1:39" ht="18" customHeight="1" x14ac:dyDescent="0.15">
      <c r="A42" s="165">
        <v>7</v>
      </c>
      <c r="B42" s="166">
        <f>'5チーム2回戦総当たりスケジュール作業表'!$B$12</f>
        <v>45232</v>
      </c>
      <c r="C42" s="167" t="str">
        <f>'5チーム2回戦総当たりスケジュール作業表'!$P$1</f>
        <v>西</v>
      </c>
      <c r="D42" s="168">
        <f t="shared" ca="1" si="4"/>
        <v>151</v>
      </c>
      <c r="E42" s="169" t="str">
        <f ca="1">OFFSET('5チーム2回戦総当たりスケジュール作業表'!$B$5,7,5)</f>
        <v>PURE</v>
      </c>
      <c r="F42" s="170">
        <v>6</v>
      </c>
      <c r="G42" s="171" t="s">
        <v>0</v>
      </c>
      <c r="H42" s="172">
        <v>7</v>
      </c>
      <c r="I42" s="169" t="str">
        <f ca="1">OFFSET('5チーム2回戦総当たりスケジュール作業表'!$B$5,7,6)</f>
        <v>うなぎ</v>
      </c>
      <c r="J42" s="173" t="str">
        <f t="shared" ca="1" si="7"/>
        <v>PUREうなぎ</v>
      </c>
      <c r="K42" s="192">
        <f ca="1">OFFSET('5チーム2回戦総当たりスケジュール作業表'!$B$5,7,17)</f>
        <v>0</v>
      </c>
      <c r="L42" s="193">
        <f ca="1">OFFSET('5チーム2回戦総当たりスケジュール作業表'!$B$5,7,18)</f>
        <v>0</v>
      </c>
      <c r="M42" s="176">
        <f t="shared" si="8"/>
        <v>7</v>
      </c>
      <c r="N42" s="9"/>
      <c r="S42" s="223"/>
      <c r="T42" s="223"/>
      <c r="AG42" s="181" t="str">
        <f t="shared" si="9"/>
        <v>うなぎ0</v>
      </c>
      <c r="AH42" s="9">
        <v>39</v>
      </c>
      <c r="AI42" s="9" t="str">
        <f>'5チーム2回戦総当たりスケジュール作業表'!$X$8</f>
        <v>うなぎ</v>
      </c>
      <c r="AJ42" s="9">
        <f>'5チーム2回戦総当たりスケジュール作業表'!$X$18</f>
        <v>0</v>
      </c>
      <c r="AK42" s="9" t="e">
        <f t="shared" ca="1" si="5"/>
        <v>#N/A</v>
      </c>
      <c r="AL42" s="9" t="e">
        <f t="shared" ca="1" si="6"/>
        <v>#N/A</v>
      </c>
      <c r="AM42" s="198" t="e">
        <f t="shared" ca="1" si="10"/>
        <v>#N/A</v>
      </c>
    </row>
    <row r="43" spans="1:39" ht="18" hidden="1" customHeight="1" x14ac:dyDescent="0.15">
      <c r="A43" s="183">
        <v>7</v>
      </c>
      <c r="B43" s="184">
        <f>'5チーム2回戦総当たりスケジュール作業表'!$B$12</f>
        <v>45232</v>
      </c>
      <c r="C43" s="185" t="str">
        <f>'5チーム2回戦総当たりスケジュール作業表'!$P$1</f>
        <v>西</v>
      </c>
      <c r="D43" s="186">
        <f t="shared" ca="1" si="4"/>
        <v>66</v>
      </c>
      <c r="E43" s="187">
        <f ca="1">OFFSET('5チーム2回戦総当たりスケジュール作業表'!$B$5,7,7)</f>
        <v>0</v>
      </c>
      <c r="F43" s="188"/>
      <c r="G43" s="189" t="s">
        <v>0</v>
      </c>
      <c r="H43" s="190"/>
      <c r="I43" s="187">
        <f ca="1">OFFSET('5チーム2回戦総当たりスケジュール作業表'!$B$5,7,8)</f>
        <v>0</v>
      </c>
      <c r="J43" s="191" t="str">
        <f t="shared" ca="1" si="7"/>
        <v>00</v>
      </c>
      <c r="K43" s="192"/>
      <c r="L43" s="193"/>
      <c r="M43" s="176">
        <f t="shared" si="8"/>
        <v>7</v>
      </c>
      <c r="S43" s="223"/>
      <c r="T43" s="223"/>
      <c r="AG43" s="181" t="str">
        <f t="shared" si="9"/>
        <v>うなぎ0</v>
      </c>
      <c r="AH43" s="9">
        <v>40</v>
      </c>
      <c r="AI43" s="9" t="str">
        <f>'5チーム2回戦総当たりスケジュール作業表'!$X$8</f>
        <v>うなぎ</v>
      </c>
      <c r="AJ43" s="9">
        <f>'5チーム2回戦総当たりスケジュール作業表'!$X$19</f>
        <v>0</v>
      </c>
      <c r="AK43" s="9" t="e">
        <f t="shared" ca="1" si="5"/>
        <v>#N/A</v>
      </c>
      <c r="AL43" s="9" t="e">
        <f t="shared" ca="1" si="6"/>
        <v>#N/A</v>
      </c>
      <c r="AM43" s="198" t="e">
        <f t="shared" ca="1" si="10"/>
        <v>#N/A</v>
      </c>
    </row>
    <row r="44" spans="1:39" ht="18" hidden="1" customHeight="1" x14ac:dyDescent="0.15">
      <c r="A44" s="165">
        <v>7</v>
      </c>
      <c r="B44" s="166">
        <f>'5チーム2回戦総当たりスケジュール作業表'!$B$12</f>
        <v>45232</v>
      </c>
      <c r="C44" s="167" t="str">
        <f>'5チーム2回戦総当たりスケジュール作業表'!$P$1</f>
        <v>西</v>
      </c>
      <c r="D44" s="168">
        <f t="shared" ca="1" si="4"/>
        <v>19</v>
      </c>
      <c r="E44" s="169" t="str">
        <f ca="1">OFFSET('5チーム2回戦総当たりスケジュール作業表'!$B$5,7,9)</f>
        <v>Etelia</v>
      </c>
      <c r="F44" s="170"/>
      <c r="G44" s="171" t="s">
        <v>0</v>
      </c>
      <c r="H44" s="172"/>
      <c r="I44" s="169">
        <f ca="1">OFFSET('5チーム2回戦総当たりスケジュール作業表'!$B$5,7,10)</f>
        <v>0</v>
      </c>
      <c r="J44" s="173" t="str">
        <f t="shared" ca="1" si="7"/>
        <v>Etelia0</v>
      </c>
      <c r="K44" s="192"/>
      <c r="L44" s="193"/>
      <c r="M44" s="176">
        <f t="shared" si="8"/>
        <v>7</v>
      </c>
      <c r="S44" s="223"/>
      <c r="T44" s="223"/>
      <c r="AG44" s="181" t="str">
        <f t="shared" si="9"/>
        <v>うなぎ0</v>
      </c>
      <c r="AH44" s="9">
        <v>41</v>
      </c>
      <c r="AI44" s="9" t="str">
        <f>'5チーム2回戦総当たりスケジュール作業表'!$X$8</f>
        <v>うなぎ</v>
      </c>
      <c r="AJ44" s="9">
        <f>'5チーム2回戦総当たりスケジュール作業表'!$X$20</f>
        <v>0</v>
      </c>
      <c r="AK44" s="9" t="e">
        <f t="shared" ca="1" si="5"/>
        <v>#N/A</v>
      </c>
      <c r="AL44" s="9" t="e">
        <f t="shared" ca="1" si="6"/>
        <v>#N/A</v>
      </c>
      <c r="AM44" s="198" t="e">
        <f t="shared" ca="1" si="10"/>
        <v>#N/A</v>
      </c>
    </row>
    <row r="45" spans="1:39" ht="18" hidden="1" customHeight="1" x14ac:dyDescent="0.15">
      <c r="A45" s="183">
        <v>7</v>
      </c>
      <c r="B45" s="184">
        <f>'5チーム2回戦総当たりスケジュール作業表'!$B$12</f>
        <v>45232</v>
      </c>
      <c r="C45" s="185" t="str">
        <f>'5チーム2回戦総当たりスケジュール作業表'!$P$1</f>
        <v>西</v>
      </c>
      <c r="D45" s="186">
        <f t="shared" ca="1" si="4"/>
        <v>66</v>
      </c>
      <c r="E45" s="187">
        <f ca="1">IF(I45=0,0,OFFSET('5チーム2回戦総当たりスケジュール作業表'!$B$5,7,11))</f>
        <v>0</v>
      </c>
      <c r="F45" s="188"/>
      <c r="G45" s="189" t="s">
        <v>0</v>
      </c>
      <c r="H45" s="190"/>
      <c r="I45" s="187">
        <f ca="1">OFFSET('5チーム2回戦総当たりスケジュール作業表'!$B$5,7,12)</f>
        <v>0</v>
      </c>
      <c r="J45" s="191" t="str">
        <f t="shared" ca="1" si="7"/>
        <v>00</v>
      </c>
      <c r="K45" s="192"/>
      <c r="L45" s="193"/>
      <c r="M45" s="176">
        <f t="shared" si="8"/>
        <v>7</v>
      </c>
      <c r="S45" s="223"/>
      <c r="T45" s="223"/>
      <c r="AG45" s="181" t="str">
        <f t="shared" si="9"/>
        <v>うなぎ0</v>
      </c>
      <c r="AH45" s="9">
        <v>42</v>
      </c>
      <c r="AI45" s="9" t="str">
        <f>'5チーム2回戦総当たりスケジュール作業表'!$X$8</f>
        <v>うなぎ</v>
      </c>
      <c r="AJ45" s="9">
        <f>'5チーム2回戦総当たりスケジュール作業表'!$X$21</f>
        <v>0</v>
      </c>
      <c r="AK45" s="9" t="e">
        <f t="shared" ca="1" si="5"/>
        <v>#N/A</v>
      </c>
      <c r="AL45" s="9" t="e">
        <f t="shared" ca="1" si="6"/>
        <v>#N/A</v>
      </c>
      <c r="AM45" s="198" t="e">
        <f t="shared" ca="1" si="10"/>
        <v>#N/A</v>
      </c>
    </row>
    <row r="46" spans="1:39" ht="18" customHeight="1" x14ac:dyDescent="0.15">
      <c r="A46" s="199">
        <v>8</v>
      </c>
      <c r="B46" s="200">
        <f>'5チーム2回戦総当たりスケジュール作業表'!$B$13</f>
        <v>45239</v>
      </c>
      <c r="C46" s="201" t="str">
        <f>'5チーム2回戦総当たりスケジュール作業表'!$P$1</f>
        <v>西</v>
      </c>
      <c r="D46" s="202">
        <f t="shared" ca="1" si="4"/>
        <v>4</v>
      </c>
      <c r="E46" s="203" t="str">
        <f ca="1">OFFSET('5チーム2回戦総当たりスケジュール作業表'!$B$5,8,1)</f>
        <v>T-25</v>
      </c>
      <c r="F46" s="204">
        <v>3</v>
      </c>
      <c r="G46" s="205" t="s">
        <v>0</v>
      </c>
      <c r="H46" s="206">
        <v>11</v>
      </c>
      <c r="I46" s="203" t="str">
        <f ca="1">OFFSET('5チーム2回戦総当たりスケジュール作業表'!$B$5,8,2)</f>
        <v>PURE</v>
      </c>
      <c r="J46" s="173" t="str">
        <f t="shared" ca="1" si="7"/>
        <v>T-25PURE</v>
      </c>
      <c r="K46" s="207">
        <f ca="1">IF(I51=0,OFFSET('5チーム2回戦総当たりスケジュール作業表'!$B$5,8,11),0)</f>
        <v>0</v>
      </c>
      <c r="L46" s="208">
        <f ca="1">OFFSET('5チーム2回戦総当たりスケジュール作業表'!$B$5,8,12)</f>
        <v>0</v>
      </c>
      <c r="M46" s="209">
        <f t="shared" si="8"/>
        <v>8</v>
      </c>
      <c r="S46" s="223"/>
      <c r="T46" s="223"/>
      <c r="AG46" s="181" t="str">
        <f t="shared" si="9"/>
        <v>飛杉田新地PURE</v>
      </c>
      <c r="AH46" s="9">
        <v>43</v>
      </c>
      <c r="AI46" s="9" t="str">
        <f>'5チーム2回戦総当たりスケジュール作業表'!$X$9</f>
        <v>飛杉田新地</v>
      </c>
      <c r="AJ46" s="9" t="str">
        <f>'5チーム2回戦総当たりスケジュール作業表'!$X$10</f>
        <v>PURE</v>
      </c>
      <c r="AK46" s="9">
        <f t="shared" ca="1" si="5"/>
        <v>8</v>
      </c>
      <c r="AL46" s="9">
        <f t="shared" ca="1" si="6"/>
        <v>11</v>
      </c>
      <c r="AM46" s="198">
        <f t="shared" ca="1" si="10"/>
        <v>5</v>
      </c>
    </row>
    <row r="47" spans="1:39" ht="18" hidden="1" customHeight="1" x14ac:dyDescent="0.15">
      <c r="A47" s="199">
        <v>8</v>
      </c>
      <c r="B47" s="200">
        <f>'5チーム2回戦総当たりスケジュール作業表'!$B$13</f>
        <v>45239</v>
      </c>
      <c r="C47" s="224" t="str">
        <f>'5チーム2回戦総当たりスケジュール作業表'!$P$1</f>
        <v>西</v>
      </c>
      <c r="D47" s="225">
        <f t="shared" ca="1" si="4"/>
        <v>66</v>
      </c>
      <c r="E47" s="226">
        <f ca="1">OFFSET('5チーム2回戦総当たりスケジュール作業表'!$B$5,8,3)</f>
        <v>0</v>
      </c>
      <c r="F47" s="227"/>
      <c r="G47" s="228" t="s">
        <v>0</v>
      </c>
      <c r="H47" s="229"/>
      <c r="I47" s="226">
        <f ca="1">OFFSET('5チーム2回戦総当たりスケジュール作業表'!$B$5,8,4)</f>
        <v>0</v>
      </c>
      <c r="J47" s="230" t="str">
        <f t="shared" ca="1" si="7"/>
        <v>00</v>
      </c>
      <c r="K47" s="192">
        <f ca="1">OFFSET('5チーム2回戦総当たりスケジュール作業表'!$B$5,8,15)</f>
        <v>0</v>
      </c>
      <c r="L47" s="193">
        <f ca="1">OFFSET('5チーム2回戦総当たりスケジュール作業表'!$B$5,8,16)</f>
        <v>0</v>
      </c>
      <c r="M47" s="209">
        <f t="shared" si="8"/>
        <v>8</v>
      </c>
      <c r="S47" s="223"/>
      <c r="T47" s="223"/>
      <c r="AG47" s="181" t="str">
        <f t="shared" si="9"/>
        <v>飛杉田新地0</v>
      </c>
      <c r="AH47" s="9">
        <v>44</v>
      </c>
      <c r="AI47" s="9" t="str">
        <f>'5チーム2回戦総当たりスケジュール作業表'!$X$9</f>
        <v>飛杉田新地</v>
      </c>
      <c r="AJ47" s="9">
        <f>'5チーム2回戦総当たりスケジュール作業表'!$X$11</f>
        <v>0</v>
      </c>
      <c r="AK47" s="9" t="str">
        <f t="shared" ca="1" si="5"/>
        <v/>
      </c>
      <c r="AL47" s="9" t="str">
        <f t="shared" ca="1" si="6"/>
        <v/>
      </c>
      <c r="AM47" s="198">
        <f t="shared" ca="1" si="10"/>
        <v>4</v>
      </c>
    </row>
    <row r="48" spans="1:39" ht="18" customHeight="1" x14ac:dyDescent="0.15">
      <c r="A48" s="199">
        <v>8</v>
      </c>
      <c r="B48" s="200">
        <f>'5チーム2回戦総当たりスケジュール作業表'!$B$13</f>
        <v>45239</v>
      </c>
      <c r="C48" s="201" t="str">
        <f>'5チーム2回戦総当たりスケジュール作業表'!$P$1</f>
        <v>西</v>
      </c>
      <c r="D48" s="202">
        <f t="shared" ca="1" si="4"/>
        <v>137</v>
      </c>
      <c r="E48" s="203" t="str">
        <f ca="1">OFFSET('5チーム2回戦総当たりスケジュール作業表'!$B$5,8,5)</f>
        <v>飛杉田新地</v>
      </c>
      <c r="F48" s="204"/>
      <c r="G48" s="205" t="s">
        <v>0</v>
      </c>
      <c r="H48" s="206"/>
      <c r="I48" s="203" t="str">
        <f ca="1">OFFSET('5チーム2回戦総当たりスケジュール作業表'!$B$5,8,6)</f>
        <v>Etelia</v>
      </c>
      <c r="J48" s="173" t="str">
        <f t="shared" ca="1" si="7"/>
        <v>飛杉田新地Etelia</v>
      </c>
      <c r="K48" s="192">
        <f ca="1">OFFSET('5チーム2回戦総当たりスケジュール作業表'!$B$5,8,17)</f>
        <v>0</v>
      </c>
      <c r="L48" s="193">
        <f ca="1">OFFSET('5チーム2回戦総当たりスケジュール作業表'!$B$5,8,18)</f>
        <v>0</v>
      </c>
      <c r="M48" s="209">
        <f t="shared" si="8"/>
        <v>8</v>
      </c>
      <c r="S48" s="223"/>
      <c r="T48" s="223"/>
      <c r="AG48" s="181" t="str">
        <f t="shared" si="9"/>
        <v>飛杉田新地0</v>
      </c>
      <c r="AH48" s="9">
        <v>45</v>
      </c>
      <c r="AI48" s="9" t="str">
        <f>'5チーム2回戦総当たりスケジュール作業表'!$X$9</f>
        <v>飛杉田新地</v>
      </c>
      <c r="AJ48" s="9">
        <f>'5チーム2回戦総当たりスケジュール作業表'!$X$12</f>
        <v>0</v>
      </c>
      <c r="AK48" s="9" t="e">
        <f t="shared" ca="1" si="5"/>
        <v>#N/A</v>
      </c>
      <c r="AL48" s="9" t="e">
        <f t="shared" ca="1" si="6"/>
        <v>#N/A</v>
      </c>
      <c r="AM48" s="198" t="e">
        <f t="shared" ca="1" si="10"/>
        <v>#N/A</v>
      </c>
    </row>
    <row r="49" spans="1:39" ht="18" hidden="1" customHeight="1" x14ac:dyDescent="0.15">
      <c r="A49" s="199">
        <v>8</v>
      </c>
      <c r="B49" s="200">
        <f>'5チーム2回戦総当たりスケジュール作業表'!$B$13</f>
        <v>45239</v>
      </c>
      <c r="C49" s="224" t="str">
        <f>'5チーム2回戦総当たりスケジュール作業表'!$P$1</f>
        <v>西</v>
      </c>
      <c r="D49" s="225">
        <f t="shared" ca="1" si="4"/>
        <v>66</v>
      </c>
      <c r="E49" s="226">
        <f ca="1">OFFSET('5チーム2回戦総当たりスケジュール作業表'!$B$5,8,7)</f>
        <v>0</v>
      </c>
      <c r="F49" s="227"/>
      <c r="G49" s="228" t="s">
        <v>0</v>
      </c>
      <c r="H49" s="229"/>
      <c r="I49" s="226">
        <f ca="1">OFFSET('5チーム2回戦総当たりスケジュール作業表'!$B$5,8,8)</f>
        <v>0</v>
      </c>
      <c r="J49" s="230" t="str">
        <f t="shared" ca="1" si="7"/>
        <v>00</v>
      </c>
      <c r="K49" s="192"/>
      <c r="L49" s="193"/>
      <c r="M49" s="209">
        <f t="shared" si="8"/>
        <v>8</v>
      </c>
      <c r="S49" s="223"/>
      <c r="T49" s="223"/>
      <c r="AG49" s="181" t="str">
        <f t="shared" si="9"/>
        <v>飛杉田新地0</v>
      </c>
      <c r="AH49" s="9">
        <v>46</v>
      </c>
      <c r="AI49" s="9" t="str">
        <f>'5チーム2回戦総当たりスケジュール作業表'!$X$9</f>
        <v>飛杉田新地</v>
      </c>
      <c r="AJ49" s="9">
        <f>'5チーム2回戦総当たりスケジュール作業表'!$X$13</f>
        <v>0</v>
      </c>
      <c r="AK49" s="9" t="e">
        <f t="shared" ca="1" si="5"/>
        <v>#N/A</v>
      </c>
      <c r="AL49" s="9" t="e">
        <f t="shared" ca="1" si="6"/>
        <v>#N/A</v>
      </c>
      <c r="AM49" s="198" t="e">
        <f t="shared" ca="1" si="10"/>
        <v>#N/A</v>
      </c>
    </row>
    <row r="50" spans="1:39" ht="18" hidden="1" customHeight="1" x14ac:dyDescent="0.15">
      <c r="A50" s="199">
        <v>8</v>
      </c>
      <c r="B50" s="200">
        <f>'5チーム2回戦総当たりスケジュール作業表'!$B$13</f>
        <v>45239</v>
      </c>
      <c r="C50" s="201" t="str">
        <f>'5チーム2回戦総当たりスケジュール作業表'!$P$1</f>
        <v>西</v>
      </c>
      <c r="D50" s="202">
        <f t="shared" ca="1" si="4"/>
        <v>32</v>
      </c>
      <c r="E50" s="203" t="str">
        <f ca="1">OFFSET('5チーム2回戦総当たりスケジュール作業表'!$B$5,8,9)</f>
        <v>うなぎ</v>
      </c>
      <c r="F50" s="204"/>
      <c r="G50" s="205" t="s">
        <v>0</v>
      </c>
      <c r="H50" s="206"/>
      <c r="I50" s="203">
        <f ca="1">OFFSET('5チーム2回戦総当たりスケジュール作業表'!$B$5,8,10)</f>
        <v>0</v>
      </c>
      <c r="J50" s="173" t="str">
        <f t="shared" ca="1" si="7"/>
        <v>うなぎ0</v>
      </c>
      <c r="K50" s="192"/>
      <c r="L50" s="193"/>
      <c r="M50" s="209">
        <f t="shared" si="8"/>
        <v>8</v>
      </c>
      <c r="S50" s="223"/>
      <c r="T50" s="223"/>
      <c r="AG50" s="181" t="str">
        <f t="shared" si="9"/>
        <v>飛杉田新地0</v>
      </c>
      <c r="AH50" s="9">
        <v>47</v>
      </c>
      <c r="AI50" s="9" t="str">
        <f>'5チーム2回戦総当たりスケジュール作業表'!$X$9</f>
        <v>飛杉田新地</v>
      </c>
      <c r="AJ50" s="9">
        <f>'5チーム2回戦総当たりスケジュール作業表'!$X$14</f>
        <v>0</v>
      </c>
      <c r="AK50" s="9" t="e">
        <f t="shared" ca="1" si="5"/>
        <v>#N/A</v>
      </c>
      <c r="AL50" s="9" t="e">
        <f t="shared" ca="1" si="6"/>
        <v>#N/A</v>
      </c>
      <c r="AM50" s="198" t="e">
        <f t="shared" ca="1" si="10"/>
        <v>#N/A</v>
      </c>
    </row>
    <row r="51" spans="1:39" ht="18" hidden="1" customHeight="1" x14ac:dyDescent="0.15">
      <c r="A51" s="199">
        <v>8</v>
      </c>
      <c r="B51" s="200">
        <f>'5チーム2回戦総当たりスケジュール作業表'!$B$13</f>
        <v>45239</v>
      </c>
      <c r="C51" s="224" t="str">
        <f>'5チーム2回戦総当たりスケジュール作業表'!$P$1</f>
        <v>西</v>
      </c>
      <c r="D51" s="225">
        <f t="shared" ca="1" si="4"/>
        <v>66</v>
      </c>
      <c r="E51" s="226">
        <f ca="1">IF(I51=0,0,OFFSET('5チーム2回戦総当たりスケジュール作業表'!$B$5,8,11))</f>
        <v>0</v>
      </c>
      <c r="F51" s="227"/>
      <c r="G51" s="228" t="s">
        <v>0</v>
      </c>
      <c r="H51" s="229"/>
      <c r="I51" s="226">
        <f ca="1">OFFSET('5チーム2回戦総当たりスケジュール作業表'!$B$5,8,12)</f>
        <v>0</v>
      </c>
      <c r="J51" s="230" t="str">
        <f t="shared" ca="1" si="7"/>
        <v>00</v>
      </c>
      <c r="K51" s="192"/>
      <c r="L51" s="193"/>
      <c r="M51" s="209">
        <f t="shared" si="8"/>
        <v>8</v>
      </c>
      <c r="S51" s="223"/>
      <c r="T51" s="223"/>
      <c r="AG51" s="181" t="str">
        <f t="shared" si="9"/>
        <v>飛杉田新地0</v>
      </c>
      <c r="AH51" s="9">
        <v>48</v>
      </c>
      <c r="AI51" s="9" t="str">
        <f>'5チーム2回戦総当たりスケジュール作業表'!$X$9</f>
        <v>飛杉田新地</v>
      </c>
      <c r="AJ51" s="9">
        <f>'5チーム2回戦総当たりスケジュール作業表'!$X$15</f>
        <v>0</v>
      </c>
      <c r="AK51" s="9" t="e">
        <f t="shared" ca="1" si="5"/>
        <v>#N/A</v>
      </c>
      <c r="AL51" s="9" t="e">
        <f t="shared" ca="1" si="6"/>
        <v>#N/A</v>
      </c>
      <c r="AM51" s="198" t="e">
        <f t="shared" ca="1" si="10"/>
        <v>#N/A</v>
      </c>
    </row>
    <row r="52" spans="1:39" ht="18" customHeight="1" x14ac:dyDescent="0.15">
      <c r="A52" s="165">
        <v>9</v>
      </c>
      <c r="B52" s="166">
        <f>'5チーム2回戦総当たりスケジュール作業表'!$B$14</f>
        <v>45246</v>
      </c>
      <c r="C52" s="167" t="str">
        <f>'5チーム2回戦総当たりスケジュール作業表'!$P$1</f>
        <v>西</v>
      </c>
      <c r="D52" s="168">
        <f t="shared" ca="1" si="4"/>
        <v>2</v>
      </c>
      <c r="E52" s="169" t="str">
        <f ca="1">OFFSET('5チーム2回戦総当たりスケジュール作業表'!$B$5,9,1)</f>
        <v>T-25</v>
      </c>
      <c r="F52" s="170">
        <v>3</v>
      </c>
      <c r="G52" s="171" t="s">
        <v>0</v>
      </c>
      <c r="H52" s="172">
        <v>9</v>
      </c>
      <c r="I52" s="169" t="str">
        <f ca="1">OFFSET('5チーム2回戦総当たりスケジュール作業表'!$B$5,9,2)</f>
        <v>うなぎ</v>
      </c>
      <c r="J52" s="173" t="str">
        <f t="shared" ca="1" si="7"/>
        <v>T-25うなぎ</v>
      </c>
      <c r="K52" s="207">
        <f ca="1">IF(I57=0,OFFSET('5チーム2回戦総当たりスケジュール作業表'!$B$5,9,11),0)</f>
        <v>0</v>
      </c>
      <c r="L52" s="208">
        <f ca="1">OFFSET('5チーム2回戦総当たりスケジュール作業表'!$B$5,9,12)</f>
        <v>0</v>
      </c>
      <c r="M52" s="176">
        <f t="shared" si="8"/>
        <v>9</v>
      </c>
      <c r="S52" s="223"/>
      <c r="T52" s="223"/>
      <c r="AG52" s="181" t="str">
        <f t="shared" si="9"/>
        <v>飛杉田新地0</v>
      </c>
      <c r="AH52" s="9">
        <v>49</v>
      </c>
      <c r="AI52" s="9" t="str">
        <f>'5チーム2回戦総当たりスケジュール作業表'!$X$9</f>
        <v>飛杉田新地</v>
      </c>
      <c r="AJ52" s="9">
        <f>'5チーム2回戦総当たりスケジュール作業表'!$X$16</f>
        <v>0</v>
      </c>
      <c r="AK52" s="9" t="e">
        <f t="shared" ca="1" si="5"/>
        <v>#N/A</v>
      </c>
      <c r="AL52" s="9" t="e">
        <f t="shared" ca="1" si="6"/>
        <v>#N/A</v>
      </c>
      <c r="AM52" s="198" t="e">
        <f t="shared" ca="1" si="10"/>
        <v>#N/A</v>
      </c>
    </row>
    <row r="53" spans="1:39" ht="18" hidden="1" customHeight="1" x14ac:dyDescent="0.15">
      <c r="A53" s="165">
        <v>9</v>
      </c>
      <c r="B53" s="166">
        <f>'5チーム2回戦総当たりスケジュール作業表'!$B$14</f>
        <v>45246</v>
      </c>
      <c r="C53" s="231" t="str">
        <f>'5チーム2回戦総当たりスケジュール作業表'!$P$1</f>
        <v>西</v>
      </c>
      <c r="D53" s="232">
        <f t="shared" ca="1" si="4"/>
        <v>66</v>
      </c>
      <c r="E53" s="233">
        <f ca="1">OFFSET('5チーム2回戦総当たりスケジュール作業表'!$B$5,9,3)</f>
        <v>0</v>
      </c>
      <c r="F53" s="234"/>
      <c r="G53" s="235" t="s">
        <v>0</v>
      </c>
      <c r="H53" s="236"/>
      <c r="I53" s="233">
        <f ca="1">OFFSET('5チーム2回戦総当たりスケジュール作業表'!$B$5,9,4)</f>
        <v>0</v>
      </c>
      <c r="J53" s="230" t="str">
        <f t="shared" ca="1" si="7"/>
        <v>00</v>
      </c>
      <c r="K53" s="192">
        <f ca="1">OFFSET('5チーム2回戦総当たりスケジュール作業表'!$B$5,9,15)</f>
        <v>0</v>
      </c>
      <c r="L53" s="193">
        <f ca="1">OFFSET('5チーム2回戦総当たりスケジュール作業表'!$B$5,9,16)</f>
        <v>0</v>
      </c>
      <c r="M53" s="176">
        <f t="shared" si="8"/>
        <v>9</v>
      </c>
      <c r="S53" s="223"/>
      <c r="T53" s="223"/>
      <c r="AG53" s="181" t="str">
        <f t="shared" si="9"/>
        <v>飛杉田新地0</v>
      </c>
      <c r="AH53" s="9">
        <v>50</v>
      </c>
      <c r="AI53" s="9" t="str">
        <f>'5チーム2回戦総当たりスケジュール作業表'!$X$9</f>
        <v>飛杉田新地</v>
      </c>
      <c r="AJ53" s="9">
        <f>'5チーム2回戦総当たりスケジュール作業表'!$X$17</f>
        <v>0</v>
      </c>
      <c r="AK53" s="9" t="e">
        <f t="shared" ca="1" si="5"/>
        <v>#N/A</v>
      </c>
      <c r="AL53" s="9" t="e">
        <f t="shared" ca="1" si="6"/>
        <v>#N/A</v>
      </c>
      <c r="AM53" s="198" t="e">
        <f t="shared" ca="1" si="10"/>
        <v>#N/A</v>
      </c>
    </row>
    <row r="54" spans="1:39" ht="18" customHeight="1" x14ac:dyDescent="0.15">
      <c r="A54" s="165">
        <v>9</v>
      </c>
      <c r="B54" s="166">
        <f>'5チーム2回戦総当たりスケジュール作業表'!$B$14</f>
        <v>45246</v>
      </c>
      <c r="C54" s="167" t="str">
        <f>'5チーム2回戦総当たりスケジュール作業表'!$P$1</f>
        <v>西</v>
      </c>
      <c r="D54" s="168">
        <f t="shared" ca="1" si="4"/>
        <v>138</v>
      </c>
      <c r="E54" s="169" t="str">
        <f ca="1">OFFSET('5チーム2回戦総当たりスケジュール作業表'!$B$5,9,5)</f>
        <v>PURE</v>
      </c>
      <c r="F54" s="170">
        <v>4</v>
      </c>
      <c r="G54" s="171" t="s">
        <v>0</v>
      </c>
      <c r="H54" s="172">
        <v>6</v>
      </c>
      <c r="I54" s="169" t="str">
        <f ca="1">OFFSET('5チーム2回戦総当たりスケジュール作業表'!$B$5,9,6)</f>
        <v>Etelia</v>
      </c>
      <c r="J54" s="173" t="str">
        <f t="shared" ca="1" si="7"/>
        <v>PUREEtelia</v>
      </c>
      <c r="K54" s="192">
        <f ca="1">OFFSET('5チーム2回戦総当たりスケジュール作業表'!$B$5,9,17)</f>
        <v>0</v>
      </c>
      <c r="L54" s="193">
        <f ca="1">OFFSET('5チーム2回戦総当たりスケジュール作業表'!$B$5,9,18)</f>
        <v>0</v>
      </c>
      <c r="M54" s="176">
        <f t="shared" si="8"/>
        <v>9</v>
      </c>
      <c r="S54" s="223"/>
      <c r="T54" s="223"/>
      <c r="AG54" s="181" t="str">
        <f t="shared" si="9"/>
        <v>飛杉田新地0</v>
      </c>
      <c r="AH54" s="9">
        <v>51</v>
      </c>
      <c r="AI54" s="9" t="str">
        <f>'5チーム2回戦総当たりスケジュール作業表'!$X$9</f>
        <v>飛杉田新地</v>
      </c>
      <c r="AJ54" s="9">
        <f>'5チーム2回戦総当たりスケジュール作業表'!$X$18</f>
        <v>0</v>
      </c>
      <c r="AK54" s="9" t="e">
        <f t="shared" ca="1" si="5"/>
        <v>#N/A</v>
      </c>
      <c r="AL54" s="9" t="e">
        <f t="shared" ca="1" si="6"/>
        <v>#N/A</v>
      </c>
      <c r="AM54" s="198" t="e">
        <f t="shared" ca="1" si="10"/>
        <v>#N/A</v>
      </c>
    </row>
    <row r="55" spans="1:39" ht="18" hidden="1" customHeight="1" x14ac:dyDescent="0.15">
      <c r="A55" s="165">
        <v>9</v>
      </c>
      <c r="B55" s="166">
        <f>'5チーム2回戦総当たりスケジュール作業表'!$B$14</f>
        <v>45246</v>
      </c>
      <c r="C55" s="231" t="str">
        <f>'5チーム2回戦総当たりスケジュール作業表'!$P$1</f>
        <v>西</v>
      </c>
      <c r="D55" s="232">
        <f t="shared" ca="1" si="4"/>
        <v>66</v>
      </c>
      <c r="E55" s="233">
        <f ca="1">OFFSET('5チーム2回戦総当たりスケジュール作業表'!$B$5,9,7)</f>
        <v>0</v>
      </c>
      <c r="F55" s="234"/>
      <c r="G55" s="235" t="s">
        <v>0</v>
      </c>
      <c r="H55" s="236"/>
      <c r="I55" s="233">
        <f ca="1">OFFSET('5チーム2回戦総当たりスケジュール作業表'!$B$5,9,8)</f>
        <v>0</v>
      </c>
      <c r="J55" s="230" t="str">
        <f t="shared" ca="1" si="7"/>
        <v>00</v>
      </c>
      <c r="K55" s="192"/>
      <c r="L55" s="193"/>
      <c r="M55" s="176">
        <f t="shared" si="8"/>
        <v>9</v>
      </c>
      <c r="S55" s="223"/>
      <c r="T55" s="223"/>
      <c r="AG55" s="181" t="str">
        <f t="shared" si="9"/>
        <v>飛杉田新地0</v>
      </c>
      <c r="AH55" s="9">
        <v>52</v>
      </c>
      <c r="AI55" s="9" t="str">
        <f>'5チーム2回戦総当たりスケジュール作業表'!$X$9</f>
        <v>飛杉田新地</v>
      </c>
      <c r="AJ55" s="9">
        <f>'5チーム2回戦総当たりスケジュール作業表'!$X$19</f>
        <v>0</v>
      </c>
      <c r="AK55" s="9" t="e">
        <f t="shared" ca="1" si="5"/>
        <v>#N/A</v>
      </c>
      <c r="AL55" s="9" t="e">
        <f t="shared" ca="1" si="6"/>
        <v>#N/A</v>
      </c>
      <c r="AM55" s="198" t="e">
        <f t="shared" ca="1" si="10"/>
        <v>#N/A</v>
      </c>
    </row>
    <row r="56" spans="1:39" ht="18" hidden="1" customHeight="1" x14ac:dyDescent="0.15">
      <c r="A56" s="165">
        <v>9</v>
      </c>
      <c r="B56" s="166">
        <f>'5チーム2回戦総当たりスケジュール作業表'!$B$14</f>
        <v>45246</v>
      </c>
      <c r="C56" s="167" t="str">
        <f>'5チーム2回戦総当たりスケジュール作業表'!$P$1</f>
        <v>西</v>
      </c>
      <c r="D56" s="168">
        <f t="shared" ca="1" si="4"/>
        <v>44</v>
      </c>
      <c r="E56" s="169" t="str">
        <f ca="1">OFFSET('5チーム2回戦総当たりスケジュール作業表'!$B$5,9,9)</f>
        <v>飛杉田新地</v>
      </c>
      <c r="F56" s="170"/>
      <c r="G56" s="171" t="s">
        <v>0</v>
      </c>
      <c r="H56" s="172"/>
      <c r="I56" s="169">
        <f ca="1">OFFSET('5チーム2回戦総当たりスケジュール作業表'!$B$5,9,10)</f>
        <v>0</v>
      </c>
      <c r="J56" s="173" t="str">
        <f t="shared" ca="1" si="7"/>
        <v>飛杉田新地0</v>
      </c>
      <c r="K56" s="192"/>
      <c r="L56" s="193"/>
      <c r="M56" s="176">
        <f t="shared" si="8"/>
        <v>9</v>
      </c>
      <c r="S56" s="223"/>
      <c r="T56" s="223"/>
      <c r="AG56" s="181" t="str">
        <f t="shared" si="9"/>
        <v>飛杉田新地0</v>
      </c>
      <c r="AH56" s="9">
        <v>53</v>
      </c>
      <c r="AI56" s="9" t="str">
        <f>'5チーム2回戦総当たりスケジュール作業表'!$X$9</f>
        <v>飛杉田新地</v>
      </c>
      <c r="AJ56" s="9">
        <f>'5チーム2回戦総当たりスケジュール作業表'!$X$20</f>
        <v>0</v>
      </c>
      <c r="AK56" s="9" t="e">
        <f t="shared" ca="1" si="5"/>
        <v>#N/A</v>
      </c>
      <c r="AL56" s="9" t="e">
        <f t="shared" ca="1" si="6"/>
        <v>#N/A</v>
      </c>
      <c r="AM56" s="198" t="e">
        <f t="shared" ca="1" si="10"/>
        <v>#N/A</v>
      </c>
    </row>
    <row r="57" spans="1:39" ht="18" hidden="1" customHeight="1" x14ac:dyDescent="0.15">
      <c r="A57" s="165">
        <v>9</v>
      </c>
      <c r="B57" s="166">
        <f>'5チーム2回戦総当たりスケジュール作業表'!$B$14</f>
        <v>45246</v>
      </c>
      <c r="C57" s="231" t="str">
        <f>'5チーム2回戦総当たりスケジュール作業表'!$P$1</f>
        <v>西</v>
      </c>
      <c r="D57" s="232">
        <f t="shared" ca="1" si="4"/>
        <v>66</v>
      </c>
      <c r="E57" s="233">
        <f ca="1">IF(I57=0,0,OFFSET('5チーム2回戦総当たりスケジュール作業表'!$B$5,9,11))</f>
        <v>0</v>
      </c>
      <c r="F57" s="234"/>
      <c r="G57" s="235" t="s">
        <v>0</v>
      </c>
      <c r="H57" s="236"/>
      <c r="I57" s="233">
        <f ca="1">OFFSET('5チーム2回戦総当たりスケジュール作業表'!$B$5,9,12)</f>
        <v>0</v>
      </c>
      <c r="J57" s="230" t="str">
        <f t="shared" ca="1" si="7"/>
        <v>00</v>
      </c>
      <c r="K57" s="192"/>
      <c r="L57" s="193"/>
      <c r="M57" s="176">
        <f t="shared" si="8"/>
        <v>9</v>
      </c>
      <c r="S57" s="223"/>
      <c r="T57" s="223"/>
      <c r="AG57" s="181" t="str">
        <f t="shared" si="9"/>
        <v>飛杉田新地0</v>
      </c>
      <c r="AH57" s="9">
        <v>54</v>
      </c>
      <c r="AI57" s="9" t="str">
        <f>'5チーム2回戦総当たりスケジュール作業表'!$X$9</f>
        <v>飛杉田新地</v>
      </c>
      <c r="AJ57" s="9">
        <f>'5チーム2回戦総当たりスケジュール作業表'!$X$21</f>
        <v>0</v>
      </c>
      <c r="AK57" s="9" t="e">
        <f t="shared" ca="1" si="5"/>
        <v>#N/A</v>
      </c>
      <c r="AL57" s="9" t="e">
        <f t="shared" ca="1" si="6"/>
        <v>#N/A</v>
      </c>
      <c r="AM57" s="198" t="e">
        <f t="shared" ca="1" si="10"/>
        <v>#N/A</v>
      </c>
    </row>
    <row r="58" spans="1:39" ht="18" customHeight="1" x14ac:dyDescent="0.15">
      <c r="A58" s="199">
        <v>10</v>
      </c>
      <c r="B58" s="200">
        <f>'5チーム2回戦総当たりスケジュール作業表'!$B$15</f>
        <v>45253</v>
      </c>
      <c r="C58" s="201" t="str">
        <f>'5チーム2回戦総当たりスケジュール作業表'!$P$1</f>
        <v>西</v>
      </c>
      <c r="D58" s="202">
        <f t="shared" ca="1" si="4"/>
        <v>163</v>
      </c>
      <c r="E58" s="203" t="str">
        <f ca="1">OFFSET('5チーム2回戦総当たりスケジュール作業表'!$B$5,10,1)</f>
        <v>PURE</v>
      </c>
      <c r="F58" s="204">
        <v>15</v>
      </c>
      <c r="G58" s="205" t="s">
        <v>0</v>
      </c>
      <c r="H58" s="206">
        <v>2</v>
      </c>
      <c r="I58" s="203" t="str">
        <f ca="1">OFFSET('5チーム2回戦総当たりスケジュール作業表'!$B$5,10,2)</f>
        <v>飛杉田新地</v>
      </c>
      <c r="J58" s="173" t="str">
        <f t="shared" ca="1" si="7"/>
        <v>PURE飛杉田新地</v>
      </c>
      <c r="K58" s="207">
        <f ca="1">IF(I63=0,OFFSET('5チーム2回戦総当たりスケジュール作業表'!$B$5,10,11),0)</f>
        <v>0</v>
      </c>
      <c r="L58" s="208">
        <f ca="1">OFFSET('5チーム2回戦総当たりスケジュール作業表'!$B$5,10,12)</f>
        <v>0</v>
      </c>
      <c r="M58" s="209">
        <f t="shared" si="8"/>
        <v>10</v>
      </c>
      <c r="S58" s="223"/>
      <c r="T58" s="223"/>
      <c r="AG58" s="181" t="str">
        <f t="shared" si="9"/>
        <v>PURE0</v>
      </c>
      <c r="AH58" s="9">
        <v>55</v>
      </c>
      <c r="AI58" s="9" t="str">
        <f>'5チーム2回戦総当たりスケジュール作業表'!$X$10</f>
        <v>PURE</v>
      </c>
      <c r="AJ58" s="9">
        <f>'5チーム2回戦総当たりスケジュール作業表'!$X$11</f>
        <v>0</v>
      </c>
      <c r="AK58" s="9" t="str">
        <f t="shared" ca="1" si="5"/>
        <v/>
      </c>
      <c r="AL58" s="9" t="str">
        <f t="shared" ca="1" si="6"/>
        <v/>
      </c>
      <c r="AM58" s="198">
        <f t="shared" ca="1" si="10"/>
        <v>1</v>
      </c>
    </row>
    <row r="59" spans="1:39" ht="18" hidden="1" customHeight="1" x14ac:dyDescent="0.15">
      <c r="A59" s="199">
        <v>10</v>
      </c>
      <c r="B59" s="200">
        <f>'5チーム2回戦総当たりスケジュール作業表'!$B$15</f>
        <v>45253</v>
      </c>
      <c r="C59" s="224" t="str">
        <f>'5チーム2回戦総当たりスケジュール作業表'!$P$1</f>
        <v>西</v>
      </c>
      <c r="D59" s="225">
        <f t="shared" ca="1" si="4"/>
        <v>66</v>
      </c>
      <c r="E59" s="226">
        <f ca="1">OFFSET('5チーム2回戦総当たりスケジュール作業表'!$B$5,10,3)</f>
        <v>0</v>
      </c>
      <c r="F59" s="227"/>
      <c r="G59" s="228" t="s">
        <v>0</v>
      </c>
      <c r="H59" s="229"/>
      <c r="I59" s="226">
        <f ca="1">OFFSET('5チーム2回戦総当たりスケジュール作業表'!$B$5,10,4)</f>
        <v>0</v>
      </c>
      <c r="J59" s="230" t="str">
        <f t="shared" ca="1" si="7"/>
        <v>00</v>
      </c>
      <c r="K59" s="192">
        <f ca="1">OFFSET('5チーム2回戦総当たりスケジュール作業表'!$B$5,10,15)</f>
        <v>0</v>
      </c>
      <c r="L59" s="193">
        <f ca="1">OFFSET('5チーム2回戦総当たりスケジュール作業表'!$B$5,10,16)</f>
        <v>0</v>
      </c>
      <c r="M59" s="209">
        <f t="shared" si="8"/>
        <v>10</v>
      </c>
      <c r="S59" s="223"/>
      <c r="T59" s="223"/>
      <c r="AG59" s="181" t="str">
        <f t="shared" si="9"/>
        <v>PURE0</v>
      </c>
      <c r="AH59" s="9">
        <v>56</v>
      </c>
      <c r="AI59" s="9" t="str">
        <f>'5チーム2回戦総当たりスケジュール作業表'!$X$10</f>
        <v>PURE</v>
      </c>
      <c r="AJ59" s="9">
        <f>'5チーム2回戦総当たりスケジュール作業表'!$X$12</f>
        <v>0</v>
      </c>
      <c r="AK59" s="9" t="e">
        <f t="shared" ca="1" si="5"/>
        <v>#N/A</v>
      </c>
      <c r="AL59" s="9" t="e">
        <f t="shared" ca="1" si="6"/>
        <v>#N/A</v>
      </c>
      <c r="AM59" s="198" t="e">
        <f t="shared" ca="1" si="10"/>
        <v>#N/A</v>
      </c>
    </row>
    <row r="60" spans="1:39" ht="18" customHeight="1" x14ac:dyDescent="0.15">
      <c r="A60" s="199">
        <v>10</v>
      </c>
      <c r="B60" s="200">
        <f>'5チーム2回戦総当たりスケジュール作業表'!$B$15</f>
        <v>45253</v>
      </c>
      <c r="C60" s="201" t="str">
        <f>'5チーム2回戦総当たりスケジュール作業表'!$P$1</f>
        <v>西</v>
      </c>
      <c r="D60" s="202">
        <f t="shared" ca="1" si="4"/>
        <v>136</v>
      </c>
      <c r="E60" s="203" t="str">
        <f ca="1">OFFSET('5チーム2回戦総当たりスケジュール作業表'!$B$5,10,5)</f>
        <v>うなぎ</v>
      </c>
      <c r="F60" s="204">
        <v>4</v>
      </c>
      <c r="G60" s="205" t="s">
        <v>0</v>
      </c>
      <c r="H60" s="206">
        <v>8</v>
      </c>
      <c r="I60" s="203" t="str">
        <f ca="1">OFFSET('5チーム2回戦総当たりスケジュール作業表'!$B$5,10,6)</f>
        <v>Etelia</v>
      </c>
      <c r="J60" s="173" t="str">
        <f t="shared" ca="1" si="7"/>
        <v>うなぎEtelia</v>
      </c>
      <c r="K60" s="192">
        <f ca="1">OFFSET('5チーム2回戦総当たりスケジュール作業表'!$B$5,10,17)</f>
        <v>0</v>
      </c>
      <c r="L60" s="193">
        <f ca="1">OFFSET('5チーム2回戦総当たりスケジュール作業表'!$B$5,10,18)</f>
        <v>0</v>
      </c>
      <c r="M60" s="209">
        <f t="shared" si="8"/>
        <v>10</v>
      </c>
      <c r="S60" s="223"/>
      <c r="T60" s="223"/>
      <c r="AG60" s="181" t="str">
        <f t="shared" si="9"/>
        <v>PURE0</v>
      </c>
      <c r="AH60" s="9">
        <v>57</v>
      </c>
      <c r="AI60" s="9" t="str">
        <f>'5チーム2回戦総当たりスケジュール作業表'!$X$10</f>
        <v>PURE</v>
      </c>
      <c r="AJ60" s="9">
        <f>'5チーム2回戦総当たりスケジュール作業表'!$X$13</f>
        <v>0</v>
      </c>
      <c r="AK60" s="9" t="e">
        <f t="shared" ca="1" si="5"/>
        <v>#N/A</v>
      </c>
      <c r="AL60" s="9" t="e">
        <f t="shared" ca="1" si="6"/>
        <v>#N/A</v>
      </c>
      <c r="AM60" s="198" t="e">
        <f t="shared" ca="1" si="10"/>
        <v>#N/A</v>
      </c>
    </row>
    <row r="61" spans="1:39" ht="18" hidden="1" customHeight="1" x14ac:dyDescent="0.15">
      <c r="A61" s="199">
        <v>10</v>
      </c>
      <c r="B61" s="200">
        <f>'5チーム2回戦総当たりスケジュール作業表'!$B$15</f>
        <v>45253</v>
      </c>
      <c r="C61" s="224" t="s">
        <v>7</v>
      </c>
      <c r="D61" s="225">
        <f t="shared" ca="1" si="4"/>
        <v>66</v>
      </c>
      <c r="E61" s="226">
        <f ca="1">OFFSET('5チーム2回戦総当たりスケジュール作業表'!$B$5,10,7)</f>
        <v>0</v>
      </c>
      <c r="F61" s="227"/>
      <c r="G61" s="228" t="s">
        <v>0</v>
      </c>
      <c r="H61" s="229"/>
      <c r="I61" s="226">
        <f ca="1">OFFSET('5チーム2回戦総当たりスケジュール作業表'!$B$5,10,8)</f>
        <v>0</v>
      </c>
      <c r="J61" s="230" t="str">
        <f t="shared" ca="1" si="7"/>
        <v>00</v>
      </c>
      <c r="K61" s="192"/>
      <c r="L61" s="193"/>
      <c r="M61" s="209">
        <f t="shared" si="8"/>
        <v>10</v>
      </c>
      <c r="S61" s="223"/>
      <c r="T61" s="223"/>
      <c r="AG61" s="181" t="str">
        <f t="shared" si="9"/>
        <v>PURE0</v>
      </c>
      <c r="AH61" s="9">
        <v>58</v>
      </c>
      <c r="AI61" s="9" t="str">
        <f>'5チーム2回戦総当たりスケジュール作業表'!$X$10</f>
        <v>PURE</v>
      </c>
      <c r="AJ61" s="9">
        <f>'5チーム2回戦総当たりスケジュール作業表'!$X$14</f>
        <v>0</v>
      </c>
      <c r="AK61" s="9" t="e">
        <f t="shared" ca="1" si="5"/>
        <v>#N/A</v>
      </c>
      <c r="AL61" s="9" t="e">
        <f t="shared" ca="1" si="6"/>
        <v>#N/A</v>
      </c>
      <c r="AM61" s="198" t="e">
        <f t="shared" ca="1" si="10"/>
        <v>#N/A</v>
      </c>
    </row>
    <row r="62" spans="1:39" ht="18" hidden="1" customHeight="1" x14ac:dyDescent="0.15">
      <c r="A62" s="199">
        <v>10</v>
      </c>
      <c r="B62" s="200">
        <f>'5チーム2回戦総当たりスケジュール作業表'!$B$15</f>
        <v>45253</v>
      </c>
      <c r="C62" s="201" t="s">
        <v>6</v>
      </c>
      <c r="D62" s="202">
        <f t="shared" ca="1" si="4"/>
        <v>5</v>
      </c>
      <c r="E62" s="203" t="str">
        <f ca="1">OFFSET('5チーム2回戦総当たりスケジュール作業表'!$B$5,10,9)</f>
        <v>T-25</v>
      </c>
      <c r="F62" s="204"/>
      <c r="G62" s="205" t="s">
        <v>0</v>
      </c>
      <c r="H62" s="206"/>
      <c r="I62" s="203">
        <f ca="1">OFFSET('5チーム2回戦総当たりスケジュール作業表'!$B$5,10,10)</f>
        <v>0</v>
      </c>
      <c r="J62" s="173" t="str">
        <f t="shared" ca="1" si="7"/>
        <v>T-250</v>
      </c>
      <c r="K62" s="192"/>
      <c r="L62" s="193"/>
      <c r="M62" s="209">
        <f t="shared" si="8"/>
        <v>10</v>
      </c>
      <c r="S62" s="223"/>
      <c r="T62" s="223"/>
      <c r="AG62" s="181" t="str">
        <f t="shared" si="9"/>
        <v>PURE0</v>
      </c>
      <c r="AH62" s="9">
        <v>59</v>
      </c>
      <c r="AI62" s="9" t="str">
        <f>'5チーム2回戦総当たりスケジュール作業表'!$X$10</f>
        <v>PURE</v>
      </c>
      <c r="AJ62" s="9">
        <f>'5チーム2回戦総当たりスケジュール作業表'!$X$15</f>
        <v>0</v>
      </c>
      <c r="AK62" s="9" t="e">
        <f t="shared" ca="1" si="5"/>
        <v>#N/A</v>
      </c>
      <c r="AL62" s="9" t="e">
        <f t="shared" ca="1" si="6"/>
        <v>#N/A</v>
      </c>
      <c r="AM62" s="198" t="e">
        <f t="shared" ca="1" si="10"/>
        <v>#N/A</v>
      </c>
    </row>
    <row r="63" spans="1:39" ht="18" hidden="1" customHeight="1" x14ac:dyDescent="0.15">
      <c r="A63" s="199">
        <v>10</v>
      </c>
      <c r="B63" s="200">
        <f>'5チーム2回戦総当たりスケジュール作業表'!$B$15</f>
        <v>45253</v>
      </c>
      <c r="C63" s="224" t="s">
        <v>7</v>
      </c>
      <c r="D63" s="225">
        <f t="shared" ca="1" si="4"/>
        <v>66</v>
      </c>
      <c r="E63" s="226">
        <f ca="1">IF(I63=0,0,OFFSET('5チーム2回戦総当たりスケジュール作業表'!$B$5,10,11))</f>
        <v>0</v>
      </c>
      <c r="F63" s="227"/>
      <c r="G63" s="228" t="s">
        <v>0</v>
      </c>
      <c r="H63" s="229"/>
      <c r="I63" s="226">
        <f ca="1">OFFSET('5チーム2回戦総当たりスケジュール作業表'!$B$5,10,12)</f>
        <v>0</v>
      </c>
      <c r="J63" s="230" t="str">
        <f t="shared" ca="1" si="7"/>
        <v>00</v>
      </c>
      <c r="K63" s="237"/>
      <c r="L63" s="238"/>
      <c r="M63" s="209">
        <f t="shared" si="8"/>
        <v>10</v>
      </c>
      <c r="S63" s="223"/>
      <c r="T63" s="223"/>
      <c r="AG63" s="181" t="str">
        <f t="shared" si="9"/>
        <v>PURE0</v>
      </c>
      <c r="AH63" s="9">
        <v>60</v>
      </c>
      <c r="AI63" s="9" t="str">
        <f>'5チーム2回戦総当たりスケジュール作業表'!$X$10</f>
        <v>PURE</v>
      </c>
      <c r="AJ63" s="9">
        <f>'5チーム2回戦総当たりスケジュール作業表'!$X$16</f>
        <v>0</v>
      </c>
      <c r="AK63" s="9" t="e">
        <f t="shared" ca="1" si="5"/>
        <v>#N/A</v>
      </c>
      <c r="AL63" s="9" t="e">
        <f t="shared" ca="1" si="6"/>
        <v>#N/A</v>
      </c>
      <c r="AM63" s="198" t="e">
        <f t="shared" ca="1" si="10"/>
        <v>#N/A</v>
      </c>
    </row>
    <row r="64" spans="1:39" ht="18" hidden="1" customHeight="1" x14ac:dyDescent="0.15">
      <c r="A64" s="165">
        <v>11</v>
      </c>
      <c r="B64" s="166">
        <f>'5チーム2回戦総当たりスケジュール作業表'!$B$16</f>
        <v>0</v>
      </c>
      <c r="C64" s="167" t="s">
        <v>6</v>
      </c>
      <c r="D64" s="168">
        <f t="shared" ca="1" si="4"/>
        <v>66</v>
      </c>
      <c r="E64" s="169">
        <f ca="1">OFFSET('5チーム2回戦総当たりスケジュール作業表'!$B$5,11,1)</f>
        <v>0</v>
      </c>
      <c r="F64" s="170"/>
      <c r="G64" s="171" t="s">
        <v>0</v>
      </c>
      <c r="H64" s="172"/>
      <c r="I64" s="169">
        <f ca="1">OFFSET('5チーム2回戦総当たりスケジュール作業表'!$B$5,11,2)</f>
        <v>0</v>
      </c>
      <c r="J64" s="173" t="str">
        <f t="shared" ca="1" si="7"/>
        <v>00</v>
      </c>
      <c r="K64" s="207">
        <f ca="1">IF(I69=0,OFFSET('5チーム2回戦総当たりスケジュール作業表'!$B$5,11,11),0)</f>
        <v>0</v>
      </c>
      <c r="L64" s="208">
        <f ca="1">OFFSET('5チーム2回戦総当たりスケジュール作業表'!$B$5,11,12)</f>
        <v>0</v>
      </c>
      <c r="M64" s="176">
        <f t="shared" si="8"/>
        <v>11</v>
      </c>
      <c r="S64" s="223"/>
      <c r="T64" s="223"/>
      <c r="AG64" s="181" t="str">
        <f t="shared" si="9"/>
        <v>PURE0</v>
      </c>
      <c r="AH64" s="9">
        <v>61</v>
      </c>
      <c r="AI64" s="9" t="str">
        <f>'5チーム2回戦総当たりスケジュール作業表'!$X$10</f>
        <v>PURE</v>
      </c>
      <c r="AJ64" s="9">
        <f>'5チーム2回戦総当たりスケジュール作業表'!$X$17</f>
        <v>0</v>
      </c>
      <c r="AK64" s="9" t="e">
        <f t="shared" ca="1" si="5"/>
        <v>#N/A</v>
      </c>
      <c r="AL64" s="9" t="e">
        <f t="shared" ca="1" si="6"/>
        <v>#N/A</v>
      </c>
      <c r="AM64" s="198" t="e">
        <f t="shared" ca="1" si="10"/>
        <v>#N/A</v>
      </c>
    </row>
    <row r="65" spans="1:39" ht="18" hidden="1" customHeight="1" x14ac:dyDescent="0.15">
      <c r="A65" s="165">
        <v>11</v>
      </c>
      <c r="B65" s="166">
        <f>'5チーム2回戦総当たりスケジュール作業表'!$B$16</f>
        <v>0</v>
      </c>
      <c r="C65" s="231" t="s">
        <v>7</v>
      </c>
      <c r="D65" s="232">
        <f t="shared" ca="1" si="4"/>
        <v>66</v>
      </c>
      <c r="E65" s="233">
        <f ca="1">OFFSET('5チーム2回戦総当たりスケジュール作業表'!$B$5,11,3)</f>
        <v>0</v>
      </c>
      <c r="F65" s="234"/>
      <c r="G65" s="235" t="s">
        <v>0</v>
      </c>
      <c r="H65" s="236"/>
      <c r="I65" s="233">
        <f ca="1">OFFSET('5チーム2回戦総当たりスケジュール作業表'!$B$5,11,4)</f>
        <v>0</v>
      </c>
      <c r="J65" s="230" t="str">
        <f t="shared" ca="1" si="7"/>
        <v>00</v>
      </c>
      <c r="K65" s="192">
        <f ca="1">OFFSET('5チーム2回戦総当たりスケジュール作業表'!$B$5,11,15)</f>
        <v>0</v>
      </c>
      <c r="L65" s="193">
        <f ca="1">OFFSET('5チーム2回戦総当たりスケジュール作業表'!$B$5,11,16)</f>
        <v>0</v>
      </c>
      <c r="M65" s="176">
        <f t="shared" si="8"/>
        <v>11</v>
      </c>
      <c r="S65" s="223"/>
      <c r="T65" s="223"/>
      <c r="AG65" s="181" t="str">
        <f t="shared" si="9"/>
        <v>PURE0</v>
      </c>
      <c r="AH65" s="9">
        <v>62</v>
      </c>
      <c r="AI65" s="9" t="str">
        <f>'5チーム2回戦総当たりスケジュール作業表'!$X$10</f>
        <v>PURE</v>
      </c>
      <c r="AJ65" s="9">
        <f>'5チーム2回戦総当たりスケジュール作業表'!$X$18</f>
        <v>0</v>
      </c>
      <c r="AK65" s="9" t="e">
        <f t="shared" ca="1" si="5"/>
        <v>#N/A</v>
      </c>
      <c r="AL65" s="9" t="e">
        <f t="shared" ca="1" si="6"/>
        <v>#N/A</v>
      </c>
      <c r="AM65" s="198" t="e">
        <f t="shared" ca="1" si="10"/>
        <v>#N/A</v>
      </c>
    </row>
    <row r="66" spans="1:39" ht="18" hidden="1" customHeight="1" x14ac:dyDescent="0.15">
      <c r="A66" s="165">
        <v>11</v>
      </c>
      <c r="B66" s="166">
        <f>'5チーム2回戦総当たりスケジュール作業表'!$B$16</f>
        <v>0</v>
      </c>
      <c r="C66" s="167" t="s">
        <v>6</v>
      </c>
      <c r="D66" s="168">
        <f t="shared" ca="1" si="4"/>
        <v>66</v>
      </c>
      <c r="E66" s="169">
        <f ca="1">OFFSET('5チーム2回戦総当たりスケジュール作業表'!$B$5,11,5)</f>
        <v>0</v>
      </c>
      <c r="F66" s="170"/>
      <c r="G66" s="171" t="s">
        <v>0</v>
      </c>
      <c r="H66" s="172"/>
      <c r="I66" s="169">
        <f ca="1">OFFSET('5チーム2回戦総当たりスケジュール作業表'!$B$5,11,6)</f>
        <v>0</v>
      </c>
      <c r="J66" s="173" t="str">
        <f t="shared" ca="1" si="7"/>
        <v>00</v>
      </c>
      <c r="K66" s="192">
        <f ca="1">OFFSET('5チーム2回戦総当たりスケジュール作業表'!$B$5,11,17)</f>
        <v>0</v>
      </c>
      <c r="L66" s="193">
        <f ca="1">OFFSET('5チーム2回戦総当たりスケジュール作業表'!$B$5,11,18)</f>
        <v>0</v>
      </c>
      <c r="M66" s="176">
        <f t="shared" si="8"/>
        <v>11</v>
      </c>
      <c r="S66" s="223"/>
      <c r="T66" s="223"/>
      <c r="AG66" s="181" t="str">
        <f t="shared" si="9"/>
        <v>PURE0</v>
      </c>
      <c r="AH66" s="9">
        <v>63</v>
      </c>
      <c r="AI66" s="9" t="str">
        <f>'5チーム2回戦総当たりスケジュール作業表'!$X$10</f>
        <v>PURE</v>
      </c>
      <c r="AJ66" s="9">
        <f>'5チーム2回戦総当たりスケジュール作業表'!$X$19</f>
        <v>0</v>
      </c>
      <c r="AK66" s="9" t="e">
        <f t="shared" ca="1" si="5"/>
        <v>#N/A</v>
      </c>
      <c r="AL66" s="9" t="e">
        <f t="shared" ca="1" si="6"/>
        <v>#N/A</v>
      </c>
      <c r="AM66" s="198" t="e">
        <f t="shared" ca="1" si="10"/>
        <v>#N/A</v>
      </c>
    </row>
    <row r="67" spans="1:39" ht="18" hidden="1" customHeight="1" x14ac:dyDescent="0.15">
      <c r="A67" s="165">
        <v>11</v>
      </c>
      <c r="B67" s="166">
        <f>'5チーム2回戦総当たりスケジュール作業表'!$B$16</f>
        <v>0</v>
      </c>
      <c r="C67" s="231" t="s">
        <v>7</v>
      </c>
      <c r="D67" s="232">
        <f t="shared" ca="1" si="4"/>
        <v>66</v>
      </c>
      <c r="E67" s="233">
        <f ca="1">OFFSET('5チーム2回戦総当たりスケジュール作業表'!$B$5,11,7)</f>
        <v>0</v>
      </c>
      <c r="F67" s="234"/>
      <c r="G67" s="235" t="s">
        <v>0</v>
      </c>
      <c r="H67" s="236"/>
      <c r="I67" s="233">
        <f ca="1">OFFSET('5チーム2回戦総当たりスケジュール作業表'!$B$5,11,8)</f>
        <v>0</v>
      </c>
      <c r="J67" s="230" t="str">
        <f t="shared" ca="1" si="7"/>
        <v>00</v>
      </c>
      <c r="K67" s="192"/>
      <c r="L67" s="193"/>
      <c r="M67" s="176">
        <f t="shared" si="8"/>
        <v>11</v>
      </c>
      <c r="S67" s="223"/>
      <c r="T67" s="223"/>
      <c r="AG67" s="181" t="str">
        <f t="shared" si="9"/>
        <v>PURE0</v>
      </c>
      <c r="AH67" s="9">
        <v>64</v>
      </c>
      <c r="AI67" s="9" t="str">
        <f>'5チーム2回戦総当たりスケジュール作業表'!$X$10</f>
        <v>PURE</v>
      </c>
      <c r="AJ67" s="9">
        <f>'5チーム2回戦総当たりスケジュール作業表'!$X$20</f>
        <v>0</v>
      </c>
      <c r="AK67" s="9" t="e">
        <f t="shared" ca="1" si="5"/>
        <v>#N/A</v>
      </c>
      <c r="AL67" s="9" t="e">
        <f t="shared" ca="1" si="6"/>
        <v>#N/A</v>
      </c>
      <c r="AM67" s="198" t="e">
        <f t="shared" ca="1" si="10"/>
        <v>#N/A</v>
      </c>
    </row>
    <row r="68" spans="1:39" ht="18" hidden="1" customHeight="1" x14ac:dyDescent="0.15">
      <c r="A68" s="165">
        <v>11</v>
      </c>
      <c r="B68" s="166">
        <f>'5チーム2回戦総当たりスケジュール作業表'!$B$16</f>
        <v>0</v>
      </c>
      <c r="C68" s="167" t="s">
        <v>6</v>
      </c>
      <c r="D68" s="168">
        <f t="shared" ca="1" si="4"/>
        <v>66</v>
      </c>
      <c r="E68" s="169">
        <f ca="1">OFFSET('5チーム2回戦総当たりスケジュール作業表'!$B$5,11,9)</f>
        <v>0</v>
      </c>
      <c r="F68" s="170"/>
      <c r="G68" s="171" t="s">
        <v>0</v>
      </c>
      <c r="H68" s="172"/>
      <c r="I68" s="169">
        <f ca="1">OFFSET('5チーム2回戦総当たりスケジュール作業表'!$B$5,11,10)</f>
        <v>0</v>
      </c>
      <c r="J68" s="173" t="str">
        <f t="shared" ref="J68:J99" ca="1" si="11">E68&amp;I68</f>
        <v>00</v>
      </c>
      <c r="K68" s="192"/>
      <c r="L68" s="193"/>
      <c r="M68" s="176">
        <f t="shared" ref="M68:M99" si="12">A68</f>
        <v>11</v>
      </c>
      <c r="S68" s="223"/>
      <c r="T68" s="223"/>
      <c r="AG68" s="181" t="str">
        <f t="shared" ref="AG68:AG99" si="13">AI68&amp;AJ68</f>
        <v>PURE0</v>
      </c>
      <c r="AH68" s="9">
        <v>65</v>
      </c>
      <c r="AI68" s="9" t="str">
        <f>'5チーム2回戦総当たりスケジュール作業表'!$X$10</f>
        <v>PURE</v>
      </c>
      <c r="AJ68" s="9">
        <f>'5チーム2回戦総当たりスケジュール作業表'!$X$21</f>
        <v>0</v>
      </c>
      <c r="AK68" s="9" t="e">
        <f t="shared" ca="1" si="5"/>
        <v>#N/A</v>
      </c>
      <c r="AL68" s="9" t="e">
        <f t="shared" ca="1" si="6"/>
        <v>#N/A</v>
      </c>
      <c r="AM68" s="198" t="e">
        <f t="shared" ref="AM68:AM99" ca="1" si="14">VLOOKUP(AH68,$D$4:$M$123,10,0)</f>
        <v>#N/A</v>
      </c>
    </row>
    <row r="69" spans="1:39" ht="18" hidden="1" customHeight="1" x14ac:dyDescent="0.15">
      <c r="A69" s="165">
        <v>11</v>
      </c>
      <c r="B69" s="166">
        <f>'5チーム2回戦総当たりスケジュール作業表'!$B$16</f>
        <v>0</v>
      </c>
      <c r="C69" s="231" t="s">
        <v>7</v>
      </c>
      <c r="D69" s="232">
        <f t="shared" ref="D69:D99" ca="1" si="15">VLOOKUP(J69,$AG$4:$AM$243,2,0)</f>
        <v>66</v>
      </c>
      <c r="E69" s="233">
        <f ca="1">IF(I69=0,0,OFFSET('5チーム2回戦総当たりスケジュール作業表'!$B$5,11,11))</f>
        <v>0</v>
      </c>
      <c r="F69" s="234"/>
      <c r="G69" s="235" t="s">
        <v>0</v>
      </c>
      <c r="H69" s="236"/>
      <c r="I69" s="233">
        <f ca="1">OFFSET('5チーム2回戦総当たりスケジュール作業表'!$B$5,11,12)</f>
        <v>0</v>
      </c>
      <c r="J69" s="230" t="str">
        <f t="shared" ca="1" si="11"/>
        <v>00</v>
      </c>
      <c r="K69" s="192"/>
      <c r="L69" s="193"/>
      <c r="M69" s="176">
        <f t="shared" si="12"/>
        <v>11</v>
      </c>
      <c r="S69" s="223"/>
      <c r="T69" s="223"/>
      <c r="AG69" s="181" t="str">
        <f t="shared" si="13"/>
        <v>00</v>
      </c>
      <c r="AH69" s="9">
        <v>66</v>
      </c>
      <c r="AI69" s="9">
        <f>'5チーム2回戦総当たりスケジュール作業表'!$X$11</f>
        <v>0</v>
      </c>
      <c r="AJ69" s="9">
        <f>'5チーム2回戦総当たりスケジュール作業表'!$X$12</f>
        <v>0</v>
      </c>
      <c r="AK69" s="9" t="str">
        <f t="shared" ref="AK69:AK132" ca="1" si="16">IF(VLOOKUP($AH69,$D$4:$J$123,3,0)="","",VLOOKUP($AH69,$D$4:$J$123,3,0))</f>
        <v/>
      </c>
      <c r="AL69" s="9" t="str">
        <f t="shared" ref="AL69:AL132" ca="1" si="17">IF(VLOOKUP($AH69,$D$4:$J$123,5,0)="","",VLOOKUP($AH69,$D$4:$J$123,5,0))</f>
        <v/>
      </c>
      <c r="AM69" s="198">
        <f t="shared" ca="1" si="14"/>
        <v>1</v>
      </c>
    </row>
    <row r="70" spans="1:39" ht="18" hidden="1" customHeight="1" x14ac:dyDescent="0.15">
      <c r="A70" s="199">
        <v>12</v>
      </c>
      <c r="B70" s="200">
        <f>'5チーム2回戦総当たりスケジュール作業表'!$B$17</f>
        <v>0</v>
      </c>
      <c r="C70" s="201" t="s">
        <v>6</v>
      </c>
      <c r="D70" s="202">
        <f t="shared" ca="1" si="15"/>
        <v>66</v>
      </c>
      <c r="E70" s="203">
        <f ca="1">OFFSET('5チーム2回戦総当たりスケジュール作業表'!$B$5,12,1)</f>
        <v>0</v>
      </c>
      <c r="F70" s="204"/>
      <c r="G70" s="205" t="s">
        <v>0</v>
      </c>
      <c r="H70" s="206"/>
      <c r="I70" s="203">
        <f ca="1">OFFSET('5チーム2回戦総当たりスケジュール作業表'!$B$5,12,2)</f>
        <v>0</v>
      </c>
      <c r="J70" s="173" t="str">
        <f t="shared" ca="1" si="11"/>
        <v>00</v>
      </c>
      <c r="K70" s="207">
        <f ca="1">OFFSET('5チーム2回戦総当たりスケジュール作業表'!$B$5,12,13)</f>
        <v>0</v>
      </c>
      <c r="L70" s="208">
        <f ca="1">OFFSET('5チーム2回戦総当たりスケジュール作業表'!$B$5,12,14)</f>
        <v>0</v>
      </c>
      <c r="M70" s="209">
        <f t="shared" si="12"/>
        <v>12</v>
      </c>
      <c r="S70" s="223"/>
      <c r="T70" s="223"/>
      <c r="AG70" s="181" t="str">
        <f t="shared" si="13"/>
        <v>00</v>
      </c>
      <c r="AH70" s="9">
        <v>67</v>
      </c>
      <c r="AI70" s="9">
        <f>'5チーム2回戦総当たりスケジュール作業表'!$X$11</f>
        <v>0</v>
      </c>
      <c r="AJ70" s="9">
        <f>'5チーム2回戦総当たりスケジュール作業表'!$X$13</f>
        <v>0</v>
      </c>
      <c r="AK70" s="9" t="e">
        <f t="shared" ca="1" si="16"/>
        <v>#N/A</v>
      </c>
      <c r="AL70" s="9" t="e">
        <f t="shared" ca="1" si="17"/>
        <v>#N/A</v>
      </c>
      <c r="AM70" s="198" t="e">
        <f t="shared" ca="1" si="14"/>
        <v>#N/A</v>
      </c>
    </row>
    <row r="71" spans="1:39" ht="18" hidden="1" customHeight="1" x14ac:dyDescent="0.15">
      <c r="A71" s="199">
        <v>12</v>
      </c>
      <c r="B71" s="200">
        <f>'5チーム2回戦総当たりスケジュール作業表'!$B$17</f>
        <v>0</v>
      </c>
      <c r="C71" s="224" t="s">
        <v>7</v>
      </c>
      <c r="D71" s="225">
        <f t="shared" ca="1" si="15"/>
        <v>66</v>
      </c>
      <c r="E71" s="226">
        <f ca="1">OFFSET('5チーム2回戦総当たりスケジュール作業表'!$B$5,12,3)</f>
        <v>0</v>
      </c>
      <c r="F71" s="227"/>
      <c r="G71" s="228" t="s">
        <v>0</v>
      </c>
      <c r="H71" s="229"/>
      <c r="I71" s="226">
        <f ca="1">OFFSET('5チーム2回戦総当たりスケジュール作業表'!$B$5,12,4)</f>
        <v>0</v>
      </c>
      <c r="J71" s="230" t="str">
        <f t="shared" ca="1" si="11"/>
        <v>00</v>
      </c>
      <c r="K71" s="192">
        <f ca="1">OFFSET('5チーム2回戦総当たりスケジュール作業表'!$B$5,12,15)</f>
        <v>0</v>
      </c>
      <c r="L71" s="193">
        <f ca="1">OFFSET('5チーム2回戦総当たりスケジュール作業表'!$B$5,12,16)</f>
        <v>0</v>
      </c>
      <c r="M71" s="209">
        <f t="shared" si="12"/>
        <v>12</v>
      </c>
      <c r="S71" s="223"/>
      <c r="T71" s="223"/>
      <c r="AG71" s="181" t="str">
        <f t="shared" si="13"/>
        <v>00</v>
      </c>
      <c r="AH71" s="9">
        <v>68</v>
      </c>
      <c r="AI71" s="9">
        <f>'5チーム2回戦総当たりスケジュール作業表'!$X$11</f>
        <v>0</v>
      </c>
      <c r="AJ71" s="9">
        <f>'5チーム2回戦総当たりスケジュール作業表'!$X$14</f>
        <v>0</v>
      </c>
      <c r="AK71" s="9" t="e">
        <f t="shared" ca="1" si="16"/>
        <v>#N/A</v>
      </c>
      <c r="AL71" s="9" t="e">
        <f t="shared" ca="1" si="17"/>
        <v>#N/A</v>
      </c>
      <c r="AM71" s="198" t="e">
        <f t="shared" ca="1" si="14"/>
        <v>#N/A</v>
      </c>
    </row>
    <row r="72" spans="1:39" ht="18" hidden="1" customHeight="1" x14ac:dyDescent="0.15">
      <c r="A72" s="199">
        <v>12</v>
      </c>
      <c r="B72" s="200">
        <f>'5チーム2回戦総当たりスケジュール作業表'!$B$17</f>
        <v>0</v>
      </c>
      <c r="C72" s="201" t="s">
        <v>6</v>
      </c>
      <c r="D72" s="202">
        <f t="shared" ca="1" si="15"/>
        <v>66</v>
      </c>
      <c r="E72" s="203">
        <f ca="1">OFFSET('5チーム2回戦総当たりスケジュール作業表'!$B$5,12,5)</f>
        <v>0</v>
      </c>
      <c r="F72" s="204"/>
      <c r="G72" s="205" t="s">
        <v>0</v>
      </c>
      <c r="H72" s="206"/>
      <c r="I72" s="203">
        <f ca="1">OFFSET('5チーム2回戦総当たりスケジュール作業表'!$B$5,12,6)</f>
        <v>0</v>
      </c>
      <c r="J72" s="173" t="str">
        <f t="shared" ca="1" si="11"/>
        <v>00</v>
      </c>
      <c r="K72" s="192">
        <f ca="1">OFFSET('5チーム2回戦総当たりスケジュール作業表'!$B$5,12,17)</f>
        <v>0</v>
      </c>
      <c r="L72" s="193">
        <f ca="1">OFFSET('5チーム2回戦総当たりスケジュール作業表'!$B$5,12,18)</f>
        <v>0</v>
      </c>
      <c r="M72" s="209">
        <f t="shared" si="12"/>
        <v>12</v>
      </c>
      <c r="S72" s="223"/>
      <c r="T72" s="223"/>
      <c r="AG72" s="181" t="str">
        <f t="shared" si="13"/>
        <v>00</v>
      </c>
      <c r="AH72" s="9">
        <v>69</v>
      </c>
      <c r="AI72" s="9">
        <f>'5チーム2回戦総当たりスケジュール作業表'!$X$11</f>
        <v>0</v>
      </c>
      <c r="AJ72" s="9">
        <f>'5チーム2回戦総当たりスケジュール作業表'!$X$15</f>
        <v>0</v>
      </c>
      <c r="AK72" s="9" t="e">
        <f t="shared" ca="1" si="16"/>
        <v>#N/A</v>
      </c>
      <c r="AL72" s="9" t="e">
        <f t="shared" ca="1" si="17"/>
        <v>#N/A</v>
      </c>
      <c r="AM72" s="198" t="e">
        <f t="shared" ca="1" si="14"/>
        <v>#N/A</v>
      </c>
    </row>
    <row r="73" spans="1:39" ht="18" hidden="1" customHeight="1" x14ac:dyDescent="0.15">
      <c r="A73" s="199">
        <v>12</v>
      </c>
      <c r="B73" s="200">
        <f>'5チーム2回戦総当たりスケジュール作業表'!$B$17</f>
        <v>0</v>
      </c>
      <c r="C73" s="224" t="s">
        <v>7</v>
      </c>
      <c r="D73" s="225">
        <f t="shared" ca="1" si="15"/>
        <v>66</v>
      </c>
      <c r="E73" s="226">
        <f ca="1">OFFSET('5チーム2回戦総当たりスケジュール作業表'!$B$5,12,7)</f>
        <v>0</v>
      </c>
      <c r="F73" s="227"/>
      <c r="G73" s="228" t="s">
        <v>0</v>
      </c>
      <c r="H73" s="229"/>
      <c r="I73" s="226">
        <f ca="1">OFFSET('5チーム2回戦総当たりスケジュール作業表'!$B$5,12,8)</f>
        <v>0</v>
      </c>
      <c r="J73" s="230" t="str">
        <f t="shared" ca="1" si="11"/>
        <v>00</v>
      </c>
      <c r="K73" s="192"/>
      <c r="L73" s="193"/>
      <c r="M73" s="209">
        <f t="shared" si="12"/>
        <v>12</v>
      </c>
      <c r="S73" s="223"/>
      <c r="T73" s="223"/>
      <c r="AG73" s="181" t="str">
        <f t="shared" si="13"/>
        <v>00</v>
      </c>
      <c r="AH73" s="9">
        <v>70</v>
      </c>
      <c r="AI73" s="9">
        <f>'5チーム2回戦総当たりスケジュール作業表'!$X$11</f>
        <v>0</v>
      </c>
      <c r="AJ73" s="9">
        <f>'5チーム2回戦総当たりスケジュール作業表'!$X$16</f>
        <v>0</v>
      </c>
      <c r="AK73" s="9" t="e">
        <f t="shared" ca="1" si="16"/>
        <v>#N/A</v>
      </c>
      <c r="AL73" s="9" t="e">
        <f t="shared" ca="1" si="17"/>
        <v>#N/A</v>
      </c>
      <c r="AM73" s="198" t="e">
        <f t="shared" ca="1" si="14"/>
        <v>#N/A</v>
      </c>
    </row>
    <row r="74" spans="1:39" ht="18" hidden="1" customHeight="1" x14ac:dyDescent="0.15">
      <c r="A74" s="199">
        <v>12</v>
      </c>
      <c r="B74" s="200">
        <f>'5チーム2回戦総当たりスケジュール作業表'!$B$17</f>
        <v>0</v>
      </c>
      <c r="C74" s="201" t="s">
        <v>6</v>
      </c>
      <c r="D74" s="202">
        <f t="shared" ca="1" si="15"/>
        <v>66</v>
      </c>
      <c r="E74" s="203">
        <f ca="1">OFFSET('5チーム2回戦総当たりスケジュール作業表'!$B$5,12,9)</f>
        <v>0</v>
      </c>
      <c r="F74" s="204"/>
      <c r="G74" s="205" t="s">
        <v>0</v>
      </c>
      <c r="H74" s="206"/>
      <c r="I74" s="203">
        <f ca="1">OFFSET('5チーム2回戦総当たりスケジュール作業表'!$B$5,12,10)</f>
        <v>0</v>
      </c>
      <c r="J74" s="173" t="str">
        <f t="shared" ca="1" si="11"/>
        <v>00</v>
      </c>
      <c r="K74" s="192"/>
      <c r="L74" s="193"/>
      <c r="M74" s="209">
        <f t="shared" si="12"/>
        <v>12</v>
      </c>
      <c r="S74" s="223"/>
      <c r="T74" s="223"/>
      <c r="AG74" s="181" t="str">
        <f t="shared" si="13"/>
        <v>00</v>
      </c>
      <c r="AH74" s="9">
        <v>71</v>
      </c>
      <c r="AI74" s="9">
        <f>'5チーム2回戦総当たりスケジュール作業表'!$X$11</f>
        <v>0</v>
      </c>
      <c r="AJ74" s="9">
        <f>'5チーム2回戦総当たりスケジュール作業表'!$X$17</f>
        <v>0</v>
      </c>
      <c r="AK74" s="9" t="e">
        <f t="shared" ca="1" si="16"/>
        <v>#N/A</v>
      </c>
      <c r="AL74" s="9" t="e">
        <f t="shared" ca="1" si="17"/>
        <v>#N/A</v>
      </c>
      <c r="AM74" s="198" t="e">
        <f t="shared" ca="1" si="14"/>
        <v>#N/A</v>
      </c>
    </row>
    <row r="75" spans="1:39" ht="18" hidden="1" customHeight="1" x14ac:dyDescent="0.15">
      <c r="A75" s="199">
        <v>12</v>
      </c>
      <c r="B75" s="200">
        <f>'5チーム2回戦総当たりスケジュール作業表'!$B$17</f>
        <v>0</v>
      </c>
      <c r="C75" s="224" t="s">
        <v>7</v>
      </c>
      <c r="D75" s="225">
        <f t="shared" ca="1" si="15"/>
        <v>66</v>
      </c>
      <c r="E75" s="226">
        <f ca="1">OFFSET('5チーム2回戦総当たりスケジュール作業表'!$B$5,12,11)</f>
        <v>0</v>
      </c>
      <c r="F75" s="227"/>
      <c r="G75" s="228" t="s">
        <v>0</v>
      </c>
      <c r="H75" s="229"/>
      <c r="I75" s="226">
        <f ca="1">OFFSET('5チーム2回戦総当たりスケジュール作業表'!$B$5,12,12)</f>
        <v>0</v>
      </c>
      <c r="J75" s="230" t="str">
        <f t="shared" ca="1" si="11"/>
        <v>00</v>
      </c>
      <c r="K75" s="192"/>
      <c r="L75" s="193"/>
      <c r="M75" s="209">
        <f t="shared" si="12"/>
        <v>12</v>
      </c>
      <c r="S75" s="223"/>
      <c r="T75" s="223"/>
      <c r="AG75" s="181" t="str">
        <f t="shared" si="13"/>
        <v>00</v>
      </c>
      <c r="AH75" s="9">
        <v>72</v>
      </c>
      <c r="AI75" s="9">
        <f>'5チーム2回戦総当たりスケジュール作業表'!$X$11</f>
        <v>0</v>
      </c>
      <c r="AJ75" s="9">
        <f>'5チーム2回戦総当たりスケジュール作業表'!$X$18</f>
        <v>0</v>
      </c>
      <c r="AK75" s="9" t="e">
        <f t="shared" ca="1" si="16"/>
        <v>#N/A</v>
      </c>
      <c r="AL75" s="9" t="e">
        <f t="shared" ca="1" si="17"/>
        <v>#N/A</v>
      </c>
      <c r="AM75" s="198" t="e">
        <f t="shared" ca="1" si="14"/>
        <v>#N/A</v>
      </c>
    </row>
    <row r="76" spans="1:39" ht="18" hidden="1" customHeight="1" x14ac:dyDescent="0.15">
      <c r="A76" s="165">
        <v>13</v>
      </c>
      <c r="B76" s="166">
        <f>'5チーム2回戦総当たりスケジュール作業表'!$B$18</f>
        <v>0</v>
      </c>
      <c r="C76" s="167" t="s">
        <v>6</v>
      </c>
      <c r="D76" s="168">
        <f t="shared" ca="1" si="15"/>
        <v>66</v>
      </c>
      <c r="E76" s="169">
        <f ca="1">OFFSET('5チーム2回戦総当たりスケジュール作業表'!$B$5,13,1)</f>
        <v>0</v>
      </c>
      <c r="F76" s="170"/>
      <c r="G76" s="171" t="s">
        <v>0</v>
      </c>
      <c r="H76" s="172"/>
      <c r="I76" s="169">
        <f ca="1">OFFSET('5チーム2回戦総当たりスケジュール作業表'!$B$5,13,2)</f>
        <v>0</v>
      </c>
      <c r="J76" s="173" t="str">
        <f t="shared" ca="1" si="11"/>
        <v>00</v>
      </c>
      <c r="K76" s="207">
        <f ca="1">OFFSET('5チーム2回戦総当たりスケジュール作業表'!$B$5,13,13)</f>
        <v>0</v>
      </c>
      <c r="L76" s="208">
        <f ca="1">OFFSET('5チーム2回戦総当たりスケジュール作業表'!$B$5,13,14)</f>
        <v>0</v>
      </c>
      <c r="M76" s="176">
        <f t="shared" si="12"/>
        <v>13</v>
      </c>
      <c r="S76" s="223"/>
      <c r="T76" s="223"/>
      <c r="AG76" s="181" t="str">
        <f t="shared" si="13"/>
        <v>00</v>
      </c>
      <c r="AH76" s="9">
        <v>73</v>
      </c>
      <c r="AI76" s="9">
        <f>'5チーム2回戦総当たりスケジュール作業表'!$X$11</f>
        <v>0</v>
      </c>
      <c r="AJ76" s="9">
        <f>'5チーム2回戦総当たりスケジュール作業表'!$X$19</f>
        <v>0</v>
      </c>
      <c r="AK76" s="9" t="e">
        <f t="shared" ca="1" si="16"/>
        <v>#N/A</v>
      </c>
      <c r="AL76" s="9" t="e">
        <f t="shared" ca="1" si="17"/>
        <v>#N/A</v>
      </c>
      <c r="AM76" s="198" t="e">
        <f t="shared" ca="1" si="14"/>
        <v>#N/A</v>
      </c>
    </row>
    <row r="77" spans="1:39" ht="18" hidden="1" customHeight="1" x14ac:dyDescent="0.15">
      <c r="A77" s="165">
        <v>13</v>
      </c>
      <c r="B77" s="166">
        <f>'5チーム2回戦総当たりスケジュール作業表'!$B$18</f>
        <v>0</v>
      </c>
      <c r="C77" s="231" t="s">
        <v>7</v>
      </c>
      <c r="D77" s="232">
        <f t="shared" ca="1" si="15"/>
        <v>66</v>
      </c>
      <c r="E77" s="233">
        <f ca="1">OFFSET('5チーム2回戦総当たりスケジュール作業表'!$B$5,13,3)</f>
        <v>0</v>
      </c>
      <c r="F77" s="234"/>
      <c r="G77" s="235" t="s">
        <v>0</v>
      </c>
      <c r="H77" s="236"/>
      <c r="I77" s="233">
        <f ca="1">OFFSET('5チーム2回戦総当たりスケジュール作業表'!$B$5,13,4)</f>
        <v>0</v>
      </c>
      <c r="J77" s="230" t="str">
        <f t="shared" ca="1" si="11"/>
        <v>00</v>
      </c>
      <c r="K77" s="192">
        <f ca="1">OFFSET('5チーム2回戦総当たりスケジュール作業表'!$B$5,13,15)</f>
        <v>0</v>
      </c>
      <c r="L77" s="193">
        <f ca="1">OFFSET('5チーム2回戦総当たりスケジュール作業表'!$B$5,13,16)</f>
        <v>0</v>
      </c>
      <c r="M77" s="176">
        <f t="shared" si="12"/>
        <v>13</v>
      </c>
      <c r="S77" s="223"/>
      <c r="T77" s="223"/>
      <c r="AG77" s="181" t="str">
        <f t="shared" si="13"/>
        <v>00</v>
      </c>
      <c r="AH77" s="9">
        <v>74</v>
      </c>
      <c r="AI77" s="9">
        <f>'5チーム2回戦総当たりスケジュール作業表'!$X$11</f>
        <v>0</v>
      </c>
      <c r="AJ77" s="9">
        <f>'5チーム2回戦総当たりスケジュール作業表'!$X$20</f>
        <v>0</v>
      </c>
      <c r="AK77" s="9" t="e">
        <f t="shared" ca="1" si="16"/>
        <v>#N/A</v>
      </c>
      <c r="AL77" s="9" t="e">
        <f t="shared" ca="1" si="17"/>
        <v>#N/A</v>
      </c>
      <c r="AM77" s="198" t="e">
        <f t="shared" ca="1" si="14"/>
        <v>#N/A</v>
      </c>
    </row>
    <row r="78" spans="1:39" ht="18" hidden="1" customHeight="1" x14ac:dyDescent="0.15">
      <c r="A78" s="165">
        <v>13</v>
      </c>
      <c r="B78" s="166">
        <f>'5チーム2回戦総当たりスケジュール作業表'!$B$18</f>
        <v>0</v>
      </c>
      <c r="C78" s="167" t="s">
        <v>6</v>
      </c>
      <c r="D78" s="168">
        <f t="shared" ca="1" si="15"/>
        <v>66</v>
      </c>
      <c r="E78" s="169">
        <f ca="1">OFFSET('5チーム2回戦総当たりスケジュール作業表'!$B$5,13,5)</f>
        <v>0</v>
      </c>
      <c r="F78" s="170"/>
      <c r="G78" s="171" t="s">
        <v>0</v>
      </c>
      <c r="H78" s="172"/>
      <c r="I78" s="169">
        <f ca="1">OFFSET('5チーム2回戦総当たりスケジュール作業表'!$B$5,13,6)</f>
        <v>0</v>
      </c>
      <c r="J78" s="173" t="str">
        <f t="shared" ca="1" si="11"/>
        <v>00</v>
      </c>
      <c r="K78" s="192">
        <f ca="1">OFFSET('5チーム2回戦総当たりスケジュール作業表'!$B$5,13,17)</f>
        <v>0</v>
      </c>
      <c r="L78" s="193">
        <f ca="1">OFFSET('5チーム2回戦総当たりスケジュール作業表'!$B$5,13,18)</f>
        <v>0</v>
      </c>
      <c r="M78" s="176">
        <f t="shared" si="12"/>
        <v>13</v>
      </c>
      <c r="S78" s="223"/>
      <c r="T78" s="223"/>
      <c r="AG78" s="181" t="str">
        <f t="shared" si="13"/>
        <v>00</v>
      </c>
      <c r="AH78" s="9">
        <v>75</v>
      </c>
      <c r="AI78" s="9">
        <f>'5チーム2回戦総当たりスケジュール作業表'!$X$11</f>
        <v>0</v>
      </c>
      <c r="AJ78" s="9">
        <f>'5チーム2回戦総当たりスケジュール作業表'!$X$21</f>
        <v>0</v>
      </c>
      <c r="AK78" s="9" t="e">
        <f t="shared" ca="1" si="16"/>
        <v>#N/A</v>
      </c>
      <c r="AL78" s="9" t="e">
        <f t="shared" ca="1" si="17"/>
        <v>#N/A</v>
      </c>
      <c r="AM78" s="198" t="e">
        <f t="shared" ca="1" si="14"/>
        <v>#N/A</v>
      </c>
    </row>
    <row r="79" spans="1:39" ht="18" hidden="1" customHeight="1" x14ac:dyDescent="0.15">
      <c r="A79" s="165">
        <v>13</v>
      </c>
      <c r="B79" s="166">
        <f>'5チーム2回戦総当たりスケジュール作業表'!$B$18</f>
        <v>0</v>
      </c>
      <c r="C79" s="231" t="s">
        <v>7</v>
      </c>
      <c r="D79" s="232">
        <f t="shared" ca="1" si="15"/>
        <v>66</v>
      </c>
      <c r="E79" s="233">
        <f ca="1">OFFSET('5チーム2回戦総当たりスケジュール作業表'!$B$5,13,7)</f>
        <v>0</v>
      </c>
      <c r="F79" s="234"/>
      <c r="G79" s="235" t="s">
        <v>0</v>
      </c>
      <c r="H79" s="236"/>
      <c r="I79" s="233">
        <f ca="1">OFFSET('5チーム2回戦総当たりスケジュール作業表'!$B$5,13,8)</f>
        <v>0</v>
      </c>
      <c r="J79" s="230" t="str">
        <f t="shared" ca="1" si="11"/>
        <v>00</v>
      </c>
      <c r="K79" s="192"/>
      <c r="L79" s="193"/>
      <c r="M79" s="176">
        <f t="shared" si="12"/>
        <v>13</v>
      </c>
      <c r="S79" s="223"/>
      <c r="T79" s="223"/>
      <c r="AG79" s="181" t="str">
        <f t="shared" si="13"/>
        <v>00</v>
      </c>
      <c r="AH79" s="9">
        <v>76</v>
      </c>
      <c r="AI79" s="9">
        <f>'5チーム2回戦総当たりスケジュール作業表'!$X$12</f>
        <v>0</v>
      </c>
      <c r="AJ79" s="9">
        <f>'5チーム2回戦総当たりスケジュール作業表'!$X$13</f>
        <v>0</v>
      </c>
      <c r="AK79" s="9" t="e">
        <f t="shared" ca="1" si="16"/>
        <v>#N/A</v>
      </c>
      <c r="AL79" s="9" t="e">
        <f t="shared" ca="1" si="17"/>
        <v>#N/A</v>
      </c>
      <c r="AM79" s="198" t="e">
        <f t="shared" ca="1" si="14"/>
        <v>#N/A</v>
      </c>
    </row>
    <row r="80" spans="1:39" ht="18" hidden="1" customHeight="1" x14ac:dyDescent="0.15">
      <c r="A80" s="165">
        <v>13</v>
      </c>
      <c r="B80" s="166">
        <f>'5チーム2回戦総当たりスケジュール作業表'!$B$18</f>
        <v>0</v>
      </c>
      <c r="C80" s="167" t="s">
        <v>6</v>
      </c>
      <c r="D80" s="168">
        <f t="shared" ca="1" si="15"/>
        <v>66</v>
      </c>
      <c r="E80" s="169">
        <f ca="1">OFFSET('5チーム2回戦総当たりスケジュール作業表'!$B$5,13,9)</f>
        <v>0</v>
      </c>
      <c r="F80" s="170"/>
      <c r="G80" s="171" t="s">
        <v>0</v>
      </c>
      <c r="H80" s="172"/>
      <c r="I80" s="169">
        <f ca="1">OFFSET('5チーム2回戦総当たりスケジュール作業表'!$B$5,13,10)</f>
        <v>0</v>
      </c>
      <c r="J80" s="173" t="str">
        <f t="shared" ca="1" si="11"/>
        <v>00</v>
      </c>
      <c r="K80" s="192"/>
      <c r="L80" s="193"/>
      <c r="M80" s="176">
        <f t="shared" si="12"/>
        <v>13</v>
      </c>
      <c r="S80" s="223"/>
      <c r="T80" s="223"/>
      <c r="AG80" s="181" t="str">
        <f t="shared" si="13"/>
        <v>00</v>
      </c>
      <c r="AH80" s="9">
        <v>77</v>
      </c>
      <c r="AI80" s="9">
        <f>'5チーム2回戦総当たりスケジュール作業表'!$X$12</f>
        <v>0</v>
      </c>
      <c r="AJ80" s="9">
        <f>'5チーム2回戦総当たりスケジュール作業表'!$X$14</f>
        <v>0</v>
      </c>
      <c r="AK80" s="9" t="e">
        <f t="shared" ca="1" si="16"/>
        <v>#N/A</v>
      </c>
      <c r="AL80" s="9" t="e">
        <f t="shared" ca="1" si="17"/>
        <v>#N/A</v>
      </c>
      <c r="AM80" s="198" t="e">
        <f t="shared" ca="1" si="14"/>
        <v>#N/A</v>
      </c>
    </row>
    <row r="81" spans="1:39" ht="18" hidden="1" customHeight="1" x14ac:dyDescent="0.15">
      <c r="A81" s="165">
        <v>13</v>
      </c>
      <c r="B81" s="166">
        <f>'5チーム2回戦総当たりスケジュール作業表'!$B$18</f>
        <v>0</v>
      </c>
      <c r="C81" s="231" t="s">
        <v>7</v>
      </c>
      <c r="D81" s="232">
        <f t="shared" ca="1" si="15"/>
        <v>66</v>
      </c>
      <c r="E81" s="233">
        <f ca="1">OFFSET('5チーム2回戦総当たりスケジュール作業表'!$B$5,13,11)</f>
        <v>0</v>
      </c>
      <c r="F81" s="234"/>
      <c r="G81" s="235" t="s">
        <v>0</v>
      </c>
      <c r="H81" s="236"/>
      <c r="I81" s="233">
        <f ca="1">OFFSET('5チーム2回戦総当たりスケジュール作業表'!$B$5,13,12)</f>
        <v>0</v>
      </c>
      <c r="J81" s="230" t="str">
        <f t="shared" ca="1" si="11"/>
        <v>00</v>
      </c>
      <c r="K81" s="192"/>
      <c r="L81" s="193"/>
      <c r="M81" s="176">
        <f t="shared" si="12"/>
        <v>13</v>
      </c>
      <c r="S81" s="223"/>
      <c r="T81" s="223"/>
      <c r="AG81" s="181" t="str">
        <f t="shared" si="13"/>
        <v>00</v>
      </c>
      <c r="AH81" s="9">
        <v>78</v>
      </c>
      <c r="AI81" s="9">
        <f>'5チーム2回戦総当たりスケジュール作業表'!$X$12</f>
        <v>0</v>
      </c>
      <c r="AJ81" s="9">
        <f>'5チーム2回戦総当たりスケジュール作業表'!$X$15</f>
        <v>0</v>
      </c>
      <c r="AK81" s="9" t="e">
        <f t="shared" ca="1" si="16"/>
        <v>#N/A</v>
      </c>
      <c r="AL81" s="9" t="e">
        <f t="shared" ca="1" si="17"/>
        <v>#N/A</v>
      </c>
      <c r="AM81" s="198" t="e">
        <f t="shared" ca="1" si="14"/>
        <v>#N/A</v>
      </c>
    </row>
    <row r="82" spans="1:39" ht="18" hidden="1" customHeight="1" x14ac:dyDescent="0.15">
      <c r="A82" s="199">
        <v>14</v>
      </c>
      <c r="B82" s="239">
        <f>'5チーム2回戦総当たりスケジュール作業表'!$B$19</f>
        <v>0</v>
      </c>
      <c r="C82" s="240" t="s">
        <v>6</v>
      </c>
      <c r="D82" s="241">
        <f t="shared" ca="1" si="15"/>
        <v>66</v>
      </c>
      <c r="E82" s="242">
        <f ca="1">OFFSET('5チーム2回戦総当たりスケジュール作業表'!$B$5,14,1)</f>
        <v>0</v>
      </c>
      <c r="F82" s="243"/>
      <c r="G82" s="244" t="s">
        <v>0</v>
      </c>
      <c r="H82" s="245"/>
      <c r="I82" s="242">
        <f ca="1">OFFSET('5チーム2回戦総当たりスケジュール作業表'!$B$5,14,2)</f>
        <v>0</v>
      </c>
      <c r="J82" s="246" t="str">
        <f t="shared" ca="1" si="11"/>
        <v>00</v>
      </c>
      <c r="K82" s="247">
        <f ca="1">OFFSET('5チーム2回戦総当たりスケジュール作業表'!$B$5,14,13)</f>
        <v>0</v>
      </c>
      <c r="L82" s="248">
        <f ca="1">OFFSET('5チーム2回戦総当たりスケジュール作業表'!$B$5,14,14)</f>
        <v>0</v>
      </c>
      <c r="M82" s="249">
        <f t="shared" si="12"/>
        <v>14</v>
      </c>
      <c r="S82" s="223"/>
      <c r="T82" s="223"/>
      <c r="AG82" s="181" t="str">
        <f t="shared" si="13"/>
        <v>00</v>
      </c>
      <c r="AH82" s="9">
        <v>79</v>
      </c>
      <c r="AI82" s="9">
        <f>'5チーム2回戦総当たりスケジュール作業表'!$X$12</f>
        <v>0</v>
      </c>
      <c r="AJ82" s="9">
        <f>'5チーム2回戦総当たりスケジュール作業表'!$X$16</f>
        <v>0</v>
      </c>
      <c r="AK82" s="9" t="e">
        <f t="shared" ca="1" si="16"/>
        <v>#N/A</v>
      </c>
      <c r="AL82" s="9" t="e">
        <f t="shared" ca="1" si="17"/>
        <v>#N/A</v>
      </c>
      <c r="AM82" s="198" t="e">
        <f t="shared" ca="1" si="14"/>
        <v>#N/A</v>
      </c>
    </row>
    <row r="83" spans="1:39" ht="18" hidden="1" customHeight="1" x14ac:dyDescent="0.15">
      <c r="A83" s="199">
        <v>14</v>
      </c>
      <c r="B83" s="239">
        <f>'5チーム2回戦総当たりスケジュール作業表'!$B$19</f>
        <v>0</v>
      </c>
      <c r="C83" s="250" t="s">
        <v>7</v>
      </c>
      <c r="D83" s="251">
        <f t="shared" ca="1" si="15"/>
        <v>66</v>
      </c>
      <c r="E83" s="252">
        <f ca="1">OFFSET('5チーム2回戦総当たりスケジュール作業表'!$B$5,14,3)</f>
        <v>0</v>
      </c>
      <c r="F83" s="253"/>
      <c r="G83" s="254" t="s">
        <v>0</v>
      </c>
      <c r="H83" s="255"/>
      <c r="I83" s="252">
        <f ca="1">OFFSET('5チーム2回戦総当たりスケジュール作業表'!$B$5,14,4)</f>
        <v>0</v>
      </c>
      <c r="J83" s="256" t="str">
        <f t="shared" ca="1" si="11"/>
        <v>00</v>
      </c>
      <c r="K83" s="257">
        <f ca="1">OFFSET('5チーム2回戦総当たりスケジュール作業表'!$B$5,14,15)</f>
        <v>0</v>
      </c>
      <c r="L83" s="258">
        <f ca="1">OFFSET('5チーム2回戦総当たりスケジュール作業表'!$B$5,14,16)</f>
        <v>0</v>
      </c>
      <c r="M83" s="249">
        <f t="shared" si="12"/>
        <v>14</v>
      </c>
      <c r="S83" s="223"/>
      <c r="T83" s="223"/>
      <c r="AG83" s="181" t="str">
        <f t="shared" si="13"/>
        <v>00</v>
      </c>
      <c r="AH83" s="9">
        <v>80</v>
      </c>
      <c r="AI83" s="9">
        <f>'5チーム2回戦総当たりスケジュール作業表'!$X$12</f>
        <v>0</v>
      </c>
      <c r="AJ83" s="9">
        <f>'5チーム2回戦総当たりスケジュール作業表'!$X$17</f>
        <v>0</v>
      </c>
      <c r="AK83" s="9" t="e">
        <f t="shared" ca="1" si="16"/>
        <v>#N/A</v>
      </c>
      <c r="AL83" s="9" t="e">
        <f t="shared" ca="1" si="17"/>
        <v>#N/A</v>
      </c>
      <c r="AM83" s="198" t="e">
        <f t="shared" ca="1" si="14"/>
        <v>#N/A</v>
      </c>
    </row>
    <row r="84" spans="1:39" ht="18" hidden="1" customHeight="1" x14ac:dyDescent="0.15">
      <c r="A84" s="199">
        <v>14</v>
      </c>
      <c r="B84" s="239">
        <f>'5チーム2回戦総当たりスケジュール作業表'!$B$19</f>
        <v>0</v>
      </c>
      <c r="C84" s="240" t="s">
        <v>6</v>
      </c>
      <c r="D84" s="241">
        <f t="shared" ca="1" si="15"/>
        <v>66</v>
      </c>
      <c r="E84" s="242">
        <f ca="1">OFFSET('5チーム2回戦総当たりスケジュール作業表'!$B$5,14,5)</f>
        <v>0</v>
      </c>
      <c r="F84" s="243"/>
      <c r="G84" s="244" t="s">
        <v>0</v>
      </c>
      <c r="H84" s="245"/>
      <c r="I84" s="242">
        <f ca="1">OFFSET('5チーム2回戦総当たりスケジュール作業表'!$B$5,14,6)</f>
        <v>0</v>
      </c>
      <c r="J84" s="246" t="str">
        <f t="shared" ca="1" si="11"/>
        <v>00</v>
      </c>
      <c r="K84" s="257">
        <f ca="1">OFFSET('5チーム2回戦総当たりスケジュール作業表'!$B$5,14,17)</f>
        <v>0</v>
      </c>
      <c r="L84" s="258">
        <f ca="1">OFFSET('5チーム2回戦総当たりスケジュール作業表'!$B$5,14,18)</f>
        <v>0</v>
      </c>
      <c r="M84" s="249">
        <f t="shared" si="12"/>
        <v>14</v>
      </c>
      <c r="S84" s="223"/>
      <c r="T84" s="223"/>
      <c r="AG84" s="181" t="str">
        <f t="shared" si="13"/>
        <v>00</v>
      </c>
      <c r="AH84" s="9">
        <v>81</v>
      </c>
      <c r="AI84" s="9">
        <f>'5チーム2回戦総当たりスケジュール作業表'!$X$12</f>
        <v>0</v>
      </c>
      <c r="AJ84" s="9">
        <f>'5チーム2回戦総当たりスケジュール作業表'!$X$18</f>
        <v>0</v>
      </c>
      <c r="AK84" s="9" t="e">
        <f t="shared" ca="1" si="16"/>
        <v>#N/A</v>
      </c>
      <c r="AL84" s="9" t="e">
        <f t="shared" ca="1" si="17"/>
        <v>#N/A</v>
      </c>
      <c r="AM84" s="198" t="e">
        <f t="shared" ca="1" si="14"/>
        <v>#N/A</v>
      </c>
    </row>
    <row r="85" spans="1:39" ht="18" hidden="1" customHeight="1" x14ac:dyDescent="0.15">
      <c r="A85" s="199">
        <v>14</v>
      </c>
      <c r="B85" s="239">
        <f>'5チーム2回戦総当たりスケジュール作業表'!$B$19</f>
        <v>0</v>
      </c>
      <c r="C85" s="250" t="s">
        <v>7</v>
      </c>
      <c r="D85" s="251">
        <f t="shared" ca="1" si="15"/>
        <v>66</v>
      </c>
      <c r="E85" s="252">
        <f ca="1">OFFSET('5チーム2回戦総当たりスケジュール作業表'!$B$5,14,7)</f>
        <v>0</v>
      </c>
      <c r="F85" s="253"/>
      <c r="G85" s="254" t="s">
        <v>0</v>
      </c>
      <c r="H85" s="255"/>
      <c r="I85" s="252">
        <f ca="1">OFFSET('5チーム2回戦総当たりスケジュール作業表'!$B$5,14,8)</f>
        <v>0</v>
      </c>
      <c r="J85" s="256" t="str">
        <f t="shared" ca="1" si="11"/>
        <v>00</v>
      </c>
      <c r="K85" s="257"/>
      <c r="L85" s="258"/>
      <c r="M85" s="249">
        <f t="shared" si="12"/>
        <v>14</v>
      </c>
      <c r="S85" s="223"/>
      <c r="T85" s="223"/>
      <c r="AG85" s="181" t="str">
        <f t="shared" si="13"/>
        <v>00</v>
      </c>
      <c r="AH85" s="9">
        <v>82</v>
      </c>
      <c r="AI85" s="9">
        <f>'5チーム2回戦総当たりスケジュール作業表'!$X$12</f>
        <v>0</v>
      </c>
      <c r="AJ85" s="9">
        <f>'5チーム2回戦総当たりスケジュール作業表'!$X$19</f>
        <v>0</v>
      </c>
      <c r="AK85" s="9" t="e">
        <f t="shared" ca="1" si="16"/>
        <v>#N/A</v>
      </c>
      <c r="AL85" s="9" t="e">
        <f t="shared" ca="1" si="17"/>
        <v>#N/A</v>
      </c>
      <c r="AM85" s="198" t="e">
        <f t="shared" ca="1" si="14"/>
        <v>#N/A</v>
      </c>
    </row>
    <row r="86" spans="1:39" ht="18" hidden="1" customHeight="1" x14ac:dyDescent="0.15">
      <c r="A86" s="199">
        <v>14</v>
      </c>
      <c r="B86" s="239">
        <f>'5チーム2回戦総当たりスケジュール作業表'!$B$19</f>
        <v>0</v>
      </c>
      <c r="C86" s="240" t="s">
        <v>6</v>
      </c>
      <c r="D86" s="241">
        <f t="shared" ca="1" si="15"/>
        <v>66</v>
      </c>
      <c r="E86" s="242">
        <f ca="1">OFFSET('5チーム2回戦総当たりスケジュール作業表'!$B$5,14,9)</f>
        <v>0</v>
      </c>
      <c r="F86" s="243"/>
      <c r="G86" s="244" t="s">
        <v>0</v>
      </c>
      <c r="H86" s="245"/>
      <c r="I86" s="242">
        <f ca="1">OFFSET('5チーム2回戦総当たりスケジュール作業表'!$B$5,14,10)</f>
        <v>0</v>
      </c>
      <c r="J86" s="246" t="str">
        <f t="shared" ca="1" si="11"/>
        <v>00</v>
      </c>
      <c r="K86" s="257"/>
      <c r="L86" s="258"/>
      <c r="M86" s="249">
        <f t="shared" si="12"/>
        <v>14</v>
      </c>
      <c r="S86" s="223"/>
      <c r="T86" s="223"/>
      <c r="AG86" s="181" t="str">
        <f t="shared" si="13"/>
        <v>00</v>
      </c>
      <c r="AH86" s="9">
        <v>83</v>
      </c>
      <c r="AI86" s="9">
        <f>'5チーム2回戦総当たりスケジュール作業表'!$X$12</f>
        <v>0</v>
      </c>
      <c r="AJ86" s="9">
        <f>'5チーム2回戦総当たりスケジュール作業表'!$X$20</f>
        <v>0</v>
      </c>
      <c r="AK86" s="9" t="e">
        <f t="shared" ca="1" si="16"/>
        <v>#N/A</v>
      </c>
      <c r="AL86" s="9" t="e">
        <f t="shared" ca="1" si="17"/>
        <v>#N/A</v>
      </c>
      <c r="AM86" s="198" t="e">
        <f t="shared" ca="1" si="14"/>
        <v>#N/A</v>
      </c>
    </row>
    <row r="87" spans="1:39" ht="18" hidden="1" customHeight="1" x14ac:dyDescent="0.15">
      <c r="A87" s="199">
        <v>14</v>
      </c>
      <c r="B87" s="239">
        <f>'5チーム2回戦総当たりスケジュール作業表'!$B$19</f>
        <v>0</v>
      </c>
      <c r="C87" s="250" t="s">
        <v>7</v>
      </c>
      <c r="D87" s="251">
        <f t="shared" ca="1" si="15"/>
        <v>66</v>
      </c>
      <c r="E87" s="252">
        <f ca="1">OFFSET('5チーム2回戦総当たりスケジュール作業表'!$B$5,14,11)</f>
        <v>0</v>
      </c>
      <c r="F87" s="253"/>
      <c r="G87" s="254" t="s">
        <v>0</v>
      </c>
      <c r="H87" s="255"/>
      <c r="I87" s="252">
        <f ca="1">OFFSET('5チーム2回戦総当たりスケジュール作業表'!$B$5,14,12)</f>
        <v>0</v>
      </c>
      <c r="J87" s="256" t="str">
        <f t="shared" ca="1" si="11"/>
        <v>00</v>
      </c>
      <c r="K87" s="257"/>
      <c r="L87" s="258"/>
      <c r="M87" s="249">
        <f t="shared" si="12"/>
        <v>14</v>
      </c>
      <c r="S87" s="223"/>
      <c r="T87" s="223"/>
      <c r="AG87" s="181" t="str">
        <f t="shared" si="13"/>
        <v>00</v>
      </c>
      <c r="AH87" s="9">
        <v>84</v>
      </c>
      <c r="AI87" s="9">
        <f>'5チーム2回戦総当たりスケジュール作業表'!$X$12</f>
        <v>0</v>
      </c>
      <c r="AJ87" s="9">
        <f>'5チーム2回戦総当たりスケジュール作業表'!$X$21</f>
        <v>0</v>
      </c>
      <c r="AK87" s="9" t="e">
        <f t="shared" ca="1" si="16"/>
        <v>#N/A</v>
      </c>
      <c r="AL87" s="9" t="e">
        <f t="shared" ca="1" si="17"/>
        <v>#N/A</v>
      </c>
      <c r="AM87" s="198" t="e">
        <f t="shared" ca="1" si="14"/>
        <v>#N/A</v>
      </c>
    </row>
    <row r="88" spans="1:39" ht="18" hidden="1" customHeight="1" x14ac:dyDescent="0.15">
      <c r="A88" s="165">
        <v>15</v>
      </c>
      <c r="B88" s="259">
        <f>'5チーム2回戦総当たりスケジュール作業表'!$B$20</f>
        <v>0</v>
      </c>
      <c r="C88" s="260" t="s">
        <v>6</v>
      </c>
      <c r="D88" s="261">
        <f t="shared" ca="1" si="15"/>
        <v>66</v>
      </c>
      <c r="E88" s="262">
        <f ca="1">OFFSET('5チーム2回戦総当たりスケジュール作業表'!$B$5,15,1)</f>
        <v>0</v>
      </c>
      <c r="F88" s="263"/>
      <c r="G88" s="264" t="s">
        <v>0</v>
      </c>
      <c r="H88" s="265"/>
      <c r="I88" s="262">
        <f ca="1">OFFSET('5チーム2回戦総当たりスケジュール作業表'!$B$5,15,2)</f>
        <v>0</v>
      </c>
      <c r="J88" s="246" t="str">
        <f t="shared" ca="1" si="11"/>
        <v>00</v>
      </c>
      <c r="K88" s="247">
        <f ca="1">OFFSET('5チーム2回戦総当たりスケジュール作業表'!$B$5,15,13)</f>
        <v>0</v>
      </c>
      <c r="L88" s="248">
        <f ca="1">OFFSET('5チーム2回戦総当たりスケジュール作業表'!$B$5,15,14)</f>
        <v>0</v>
      </c>
      <c r="M88" s="266">
        <f t="shared" si="12"/>
        <v>15</v>
      </c>
      <c r="S88" s="223"/>
      <c r="T88" s="223"/>
      <c r="AG88" s="181" t="str">
        <f t="shared" si="13"/>
        <v>00</v>
      </c>
      <c r="AH88" s="9">
        <v>85</v>
      </c>
      <c r="AI88" s="9">
        <f>'5チーム2回戦総当たりスケジュール作業表'!$X$13</f>
        <v>0</v>
      </c>
      <c r="AJ88" s="9">
        <f>'5チーム2回戦総当たりスケジュール作業表'!$X$14</f>
        <v>0</v>
      </c>
      <c r="AK88" s="9" t="e">
        <f t="shared" ca="1" si="16"/>
        <v>#N/A</v>
      </c>
      <c r="AL88" s="9" t="e">
        <f t="shared" ca="1" si="17"/>
        <v>#N/A</v>
      </c>
      <c r="AM88" s="198" t="e">
        <f t="shared" ca="1" si="14"/>
        <v>#N/A</v>
      </c>
    </row>
    <row r="89" spans="1:39" ht="18" hidden="1" customHeight="1" x14ac:dyDescent="0.15">
      <c r="A89" s="165">
        <v>15</v>
      </c>
      <c r="B89" s="259">
        <f>'5チーム2回戦総当たりスケジュール作業表'!$B$20</f>
        <v>0</v>
      </c>
      <c r="C89" s="267" t="s">
        <v>7</v>
      </c>
      <c r="D89" s="268">
        <f t="shared" ca="1" si="15"/>
        <v>66</v>
      </c>
      <c r="E89" s="269">
        <f ca="1">OFFSET('5チーム2回戦総当たりスケジュール作業表'!$B$5,15,3)</f>
        <v>0</v>
      </c>
      <c r="F89" s="270"/>
      <c r="G89" s="271" t="s">
        <v>0</v>
      </c>
      <c r="H89" s="272"/>
      <c r="I89" s="269">
        <f ca="1">OFFSET('5チーム2回戦総当たりスケジュール作業表'!$B$5,15,4)</f>
        <v>0</v>
      </c>
      <c r="J89" s="256" t="str">
        <f t="shared" ca="1" si="11"/>
        <v>00</v>
      </c>
      <c r="K89" s="257">
        <f ca="1">OFFSET('5チーム2回戦総当たりスケジュール作業表'!$B$5,15,15)</f>
        <v>0</v>
      </c>
      <c r="L89" s="258">
        <f ca="1">OFFSET('5チーム2回戦総当たりスケジュール作業表'!$B$5,15,16)</f>
        <v>0</v>
      </c>
      <c r="M89" s="266">
        <f t="shared" si="12"/>
        <v>15</v>
      </c>
      <c r="S89" s="223"/>
      <c r="T89" s="223"/>
      <c r="AG89" s="181" t="str">
        <f t="shared" si="13"/>
        <v>00</v>
      </c>
      <c r="AH89" s="9">
        <v>86</v>
      </c>
      <c r="AI89" s="9">
        <f>'5チーム2回戦総当たりスケジュール作業表'!$X$13</f>
        <v>0</v>
      </c>
      <c r="AJ89" s="9">
        <f>'5チーム2回戦総当たりスケジュール作業表'!$X$15</f>
        <v>0</v>
      </c>
      <c r="AK89" s="9" t="e">
        <f t="shared" ca="1" si="16"/>
        <v>#N/A</v>
      </c>
      <c r="AL89" s="9" t="e">
        <f t="shared" ca="1" si="17"/>
        <v>#N/A</v>
      </c>
      <c r="AM89" s="198" t="e">
        <f t="shared" ca="1" si="14"/>
        <v>#N/A</v>
      </c>
    </row>
    <row r="90" spans="1:39" ht="18" hidden="1" customHeight="1" x14ac:dyDescent="0.15">
      <c r="A90" s="165">
        <v>15</v>
      </c>
      <c r="B90" s="259">
        <f>'5チーム2回戦総当たりスケジュール作業表'!$B$20</f>
        <v>0</v>
      </c>
      <c r="C90" s="260" t="s">
        <v>6</v>
      </c>
      <c r="D90" s="261">
        <f t="shared" ca="1" si="15"/>
        <v>66</v>
      </c>
      <c r="E90" s="262">
        <f ca="1">OFFSET('5チーム2回戦総当たりスケジュール作業表'!$B$5,15,5)</f>
        <v>0</v>
      </c>
      <c r="F90" s="263"/>
      <c r="G90" s="264" t="s">
        <v>0</v>
      </c>
      <c r="H90" s="265"/>
      <c r="I90" s="262">
        <f ca="1">OFFSET('5チーム2回戦総当たりスケジュール作業表'!$B$5,15,6)</f>
        <v>0</v>
      </c>
      <c r="J90" s="246" t="str">
        <f t="shared" ca="1" si="11"/>
        <v>00</v>
      </c>
      <c r="K90" s="257">
        <f ca="1">OFFSET('5チーム2回戦総当たりスケジュール作業表'!$B$5,15,17)</f>
        <v>0</v>
      </c>
      <c r="L90" s="258">
        <f ca="1">OFFSET('5チーム2回戦総当たりスケジュール作業表'!$B$5,15,18)</f>
        <v>0</v>
      </c>
      <c r="M90" s="266">
        <f t="shared" si="12"/>
        <v>15</v>
      </c>
      <c r="S90" s="223"/>
      <c r="T90" s="223"/>
      <c r="AG90" s="181" t="str">
        <f t="shared" si="13"/>
        <v>00</v>
      </c>
      <c r="AH90" s="9">
        <v>87</v>
      </c>
      <c r="AI90" s="9">
        <f>'5チーム2回戦総当たりスケジュール作業表'!$X$13</f>
        <v>0</v>
      </c>
      <c r="AJ90" s="9">
        <f>'5チーム2回戦総当たりスケジュール作業表'!$X$16</f>
        <v>0</v>
      </c>
      <c r="AK90" s="9" t="e">
        <f t="shared" ca="1" si="16"/>
        <v>#N/A</v>
      </c>
      <c r="AL90" s="9" t="e">
        <f t="shared" ca="1" si="17"/>
        <v>#N/A</v>
      </c>
      <c r="AM90" s="198" t="e">
        <f t="shared" ca="1" si="14"/>
        <v>#N/A</v>
      </c>
    </row>
    <row r="91" spans="1:39" ht="18" hidden="1" customHeight="1" x14ac:dyDescent="0.15">
      <c r="A91" s="165">
        <v>15</v>
      </c>
      <c r="B91" s="259">
        <f>'5チーム2回戦総当たりスケジュール作業表'!$B$20</f>
        <v>0</v>
      </c>
      <c r="C91" s="267" t="s">
        <v>7</v>
      </c>
      <c r="D91" s="268">
        <f t="shared" ca="1" si="15"/>
        <v>66</v>
      </c>
      <c r="E91" s="269">
        <f ca="1">OFFSET('5チーム2回戦総当たりスケジュール作業表'!$B$5,15,7)</f>
        <v>0</v>
      </c>
      <c r="F91" s="270"/>
      <c r="G91" s="271" t="s">
        <v>0</v>
      </c>
      <c r="H91" s="272"/>
      <c r="I91" s="269">
        <f ca="1">OFFSET('5チーム2回戦総当たりスケジュール作業表'!$B$5,15,8)</f>
        <v>0</v>
      </c>
      <c r="J91" s="256" t="str">
        <f t="shared" ca="1" si="11"/>
        <v>00</v>
      </c>
      <c r="K91" s="257"/>
      <c r="L91" s="258"/>
      <c r="M91" s="266">
        <f t="shared" si="12"/>
        <v>15</v>
      </c>
      <c r="S91" s="223"/>
      <c r="T91" s="223"/>
      <c r="AG91" s="181" t="str">
        <f t="shared" si="13"/>
        <v>00</v>
      </c>
      <c r="AH91" s="9">
        <v>88</v>
      </c>
      <c r="AI91" s="9">
        <f>'5チーム2回戦総当たりスケジュール作業表'!$X$13</f>
        <v>0</v>
      </c>
      <c r="AJ91" s="9">
        <f>'5チーム2回戦総当たりスケジュール作業表'!$X$17</f>
        <v>0</v>
      </c>
      <c r="AK91" s="9" t="e">
        <f t="shared" ca="1" si="16"/>
        <v>#N/A</v>
      </c>
      <c r="AL91" s="9" t="e">
        <f t="shared" ca="1" si="17"/>
        <v>#N/A</v>
      </c>
      <c r="AM91" s="198" t="e">
        <f t="shared" ca="1" si="14"/>
        <v>#N/A</v>
      </c>
    </row>
    <row r="92" spans="1:39" ht="18" hidden="1" customHeight="1" x14ac:dyDescent="0.15">
      <c r="A92" s="165">
        <v>15</v>
      </c>
      <c r="B92" s="259">
        <f>'5チーム2回戦総当たりスケジュール作業表'!$B$20</f>
        <v>0</v>
      </c>
      <c r="C92" s="260" t="s">
        <v>6</v>
      </c>
      <c r="D92" s="261">
        <f t="shared" ca="1" si="15"/>
        <v>66</v>
      </c>
      <c r="E92" s="262">
        <f ca="1">OFFSET('5チーム2回戦総当たりスケジュール作業表'!$B$5,15,9)</f>
        <v>0</v>
      </c>
      <c r="F92" s="263"/>
      <c r="G92" s="264" t="s">
        <v>0</v>
      </c>
      <c r="H92" s="265"/>
      <c r="I92" s="262">
        <f ca="1">OFFSET('5チーム2回戦総当たりスケジュール作業表'!$B$5,15,10)</f>
        <v>0</v>
      </c>
      <c r="J92" s="246" t="str">
        <f t="shared" ca="1" si="11"/>
        <v>00</v>
      </c>
      <c r="K92" s="257"/>
      <c r="L92" s="258"/>
      <c r="M92" s="266">
        <f t="shared" si="12"/>
        <v>15</v>
      </c>
      <c r="S92" s="223"/>
      <c r="T92" s="223"/>
      <c r="AG92" s="181" t="str">
        <f t="shared" si="13"/>
        <v>00</v>
      </c>
      <c r="AH92" s="9">
        <v>89</v>
      </c>
      <c r="AI92" s="9">
        <f>'5チーム2回戦総当たりスケジュール作業表'!$X$13</f>
        <v>0</v>
      </c>
      <c r="AJ92" s="9">
        <f>'5チーム2回戦総当たりスケジュール作業表'!$X$18</f>
        <v>0</v>
      </c>
      <c r="AK92" s="9" t="e">
        <f t="shared" ca="1" si="16"/>
        <v>#N/A</v>
      </c>
      <c r="AL92" s="9" t="e">
        <f t="shared" ca="1" si="17"/>
        <v>#N/A</v>
      </c>
      <c r="AM92" s="198" t="e">
        <f t="shared" ca="1" si="14"/>
        <v>#N/A</v>
      </c>
    </row>
    <row r="93" spans="1:39" ht="18" hidden="1" customHeight="1" x14ac:dyDescent="0.15">
      <c r="A93" s="165">
        <v>15</v>
      </c>
      <c r="B93" s="259">
        <f>'5チーム2回戦総当たりスケジュール作業表'!$B$20</f>
        <v>0</v>
      </c>
      <c r="C93" s="267" t="s">
        <v>7</v>
      </c>
      <c r="D93" s="268">
        <f t="shared" ca="1" si="15"/>
        <v>66</v>
      </c>
      <c r="E93" s="269">
        <f ca="1">OFFSET('5チーム2回戦総当たりスケジュール作業表'!$B$5,15,11)</f>
        <v>0</v>
      </c>
      <c r="F93" s="270"/>
      <c r="G93" s="271" t="s">
        <v>0</v>
      </c>
      <c r="H93" s="272"/>
      <c r="I93" s="269">
        <f ca="1">OFFSET('5チーム2回戦総当たりスケジュール作業表'!$B$5,15,12)</f>
        <v>0</v>
      </c>
      <c r="J93" s="256" t="str">
        <f t="shared" ca="1" si="11"/>
        <v>00</v>
      </c>
      <c r="K93" s="257"/>
      <c r="L93" s="258"/>
      <c r="M93" s="266">
        <f t="shared" si="12"/>
        <v>15</v>
      </c>
      <c r="S93" s="223"/>
      <c r="T93" s="223"/>
      <c r="AG93" s="181" t="str">
        <f t="shared" si="13"/>
        <v>00</v>
      </c>
      <c r="AH93" s="9">
        <v>90</v>
      </c>
      <c r="AI93" s="9">
        <f>'5チーム2回戦総当たりスケジュール作業表'!$X$13</f>
        <v>0</v>
      </c>
      <c r="AJ93" s="9">
        <f>'5チーム2回戦総当たりスケジュール作業表'!$X$19</f>
        <v>0</v>
      </c>
      <c r="AK93" s="9" t="e">
        <f t="shared" ca="1" si="16"/>
        <v>#N/A</v>
      </c>
      <c r="AL93" s="9" t="e">
        <f t="shared" ca="1" si="17"/>
        <v>#N/A</v>
      </c>
      <c r="AM93" s="198" t="e">
        <f t="shared" ca="1" si="14"/>
        <v>#N/A</v>
      </c>
    </row>
    <row r="94" spans="1:39" ht="18" hidden="1" customHeight="1" x14ac:dyDescent="0.15">
      <c r="A94" s="199">
        <v>16</v>
      </c>
      <c r="B94" s="239">
        <f>'5チーム2回戦総当たりスケジュール作業表'!$B$21</f>
        <v>0</v>
      </c>
      <c r="C94" s="240" t="s">
        <v>6</v>
      </c>
      <c r="D94" s="241">
        <f t="shared" ca="1" si="15"/>
        <v>66</v>
      </c>
      <c r="E94" s="242">
        <f ca="1">OFFSET('5チーム2回戦総当たりスケジュール作業表'!$B$5,16,1)</f>
        <v>0</v>
      </c>
      <c r="F94" s="243"/>
      <c r="G94" s="244" t="s">
        <v>0</v>
      </c>
      <c r="H94" s="245"/>
      <c r="I94" s="242">
        <f ca="1">OFFSET('5チーム2回戦総当たりスケジュール作業表'!$B$5,16,2)</f>
        <v>0</v>
      </c>
      <c r="J94" s="246" t="str">
        <f t="shared" ca="1" si="11"/>
        <v>00</v>
      </c>
      <c r="K94" s="247">
        <f ca="1">OFFSET('5チーム2回戦総当たりスケジュール作業表'!$B$5,16,13)</f>
        <v>0</v>
      </c>
      <c r="L94" s="248">
        <f ca="1">OFFSET('5チーム2回戦総当たりスケジュール作業表'!$B$5,16,14)</f>
        <v>0</v>
      </c>
      <c r="M94" s="249">
        <f t="shared" si="12"/>
        <v>16</v>
      </c>
      <c r="S94" s="223"/>
      <c r="T94" s="223"/>
      <c r="AG94" s="181" t="str">
        <f t="shared" si="13"/>
        <v>00</v>
      </c>
      <c r="AH94" s="9">
        <v>91</v>
      </c>
      <c r="AI94" s="9">
        <f>'5チーム2回戦総当たりスケジュール作業表'!$X$13</f>
        <v>0</v>
      </c>
      <c r="AJ94" s="9">
        <f>'5チーム2回戦総当たりスケジュール作業表'!$X$20</f>
        <v>0</v>
      </c>
      <c r="AK94" s="9" t="e">
        <f t="shared" ca="1" si="16"/>
        <v>#N/A</v>
      </c>
      <c r="AL94" s="9" t="e">
        <f t="shared" ca="1" si="17"/>
        <v>#N/A</v>
      </c>
      <c r="AM94" s="198" t="e">
        <f t="shared" ca="1" si="14"/>
        <v>#N/A</v>
      </c>
    </row>
    <row r="95" spans="1:39" ht="18" hidden="1" customHeight="1" x14ac:dyDescent="0.15">
      <c r="A95" s="199">
        <v>16</v>
      </c>
      <c r="B95" s="239">
        <f>'5チーム2回戦総当たりスケジュール作業表'!$B$21</f>
        <v>0</v>
      </c>
      <c r="C95" s="250" t="s">
        <v>7</v>
      </c>
      <c r="D95" s="251">
        <f t="shared" ca="1" si="15"/>
        <v>66</v>
      </c>
      <c r="E95" s="252">
        <f ca="1">OFFSET('5チーム2回戦総当たりスケジュール作業表'!$B$5,16,3)</f>
        <v>0</v>
      </c>
      <c r="F95" s="253"/>
      <c r="G95" s="254" t="s">
        <v>0</v>
      </c>
      <c r="H95" s="255"/>
      <c r="I95" s="252">
        <f ca="1">OFFSET('5チーム2回戦総当たりスケジュール作業表'!$B$5,16,4)</f>
        <v>0</v>
      </c>
      <c r="J95" s="256" t="str">
        <f t="shared" ca="1" si="11"/>
        <v>00</v>
      </c>
      <c r="K95" s="257">
        <f ca="1">OFFSET('5チーム2回戦総当たりスケジュール作業表'!$B$5,16,15)</f>
        <v>0</v>
      </c>
      <c r="L95" s="258">
        <f ca="1">OFFSET('5チーム2回戦総当たりスケジュール作業表'!$B$5,16,16)</f>
        <v>0</v>
      </c>
      <c r="M95" s="249">
        <f t="shared" si="12"/>
        <v>16</v>
      </c>
      <c r="S95" s="223"/>
      <c r="T95" s="223"/>
      <c r="AG95" s="181" t="str">
        <f t="shared" si="13"/>
        <v>00</v>
      </c>
      <c r="AH95" s="9">
        <v>92</v>
      </c>
      <c r="AI95" s="9">
        <f>'5チーム2回戦総当たりスケジュール作業表'!$X$13</f>
        <v>0</v>
      </c>
      <c r="AJ95" s="9">
        <f>'5チーム2回戦総当たりスケジュール作業表'!$X$21</f>
        <v>0</v>
      </c>
      <c r="AK95" s="9" t="e">
        <f t="shared" ca="1" si="16"/>
        <v>#N/A</v>
      </c>
      <c r="AL95" s="9" t="e">
        <f t="shared" ca="1" si="17"/>
        <v>#N/A</v>
      </c>
      <c r="AM95" s="198" t="e">
        <f t="shared" ca="1" si="14"/>
        <v>#N/A</v>
      </c>
    </row>
    <row r="96" spans="1:39" ht="18" hidden="1" customHeight="1" x14ac:dyDescent="0.15">
      <c r="A96" s="199">
        <v>16</v>
      </c>
      <c r="B96" s="239">
        <f>'5チーム2回戦総当たりスケジュール作業表'!$B$21</f>
        <v>0</v>
      </c>
      <c r="C96" s="240" t="s">
        <v>6</v>
      </c>
      <c r="D96" s="241">
        <f t="shared" ca="1" si="15"/>
        <v>66</v>
      </c>
      <c r="E96" s="242">
        <f ca="1">OFFSET('5チーム2回戦総当たりスケジュール作業表'!$B$5,16,5)</f>
        <v>0</v>
      </c>
      <c r="F96" s="243"/>
      <c r="G96" s="244" t="s">
        <v>0</v>
      </c>
      <c r="H96" s="245"/>
      <c r="I96" s="242">
        <f ca="1">OFFSET('5チーム2回戦総当たりスケジュール作業表'!$B$5,16,6)</f>
        <v>0</v>
      </c>
      <c r="J96" s="246" t="str">
        <f t="shared" ca="1" si="11"/>
        <v>00</v>
      </c>
      <c r="K96" s="257">
        <f ca="1">OFFSET('5チーム2回戦総当たりスケジュール作業表'!$B$5,16,17)</f>
        <v>0</v>
      </c>
      <c r="L96" s="258">
        <f ca="1">OFFSET('5チーム2回戦総当たりスケジュール作業表'!$B$5,16,18)</f>
        <v>0</v>
      </c>
      <c r="M96" s="249">
        <f t="shared" si="12"/>
        <v>16</v>
      </c>
      <c r="S96" s="223"/>
      <c r="T96" s="223"/>
      <c r="AG96" s="181" t="str">
        <f t="shared" si="13"/>
        <v>00</v>
      </c>
      <c r="AH96" s="9">
        <v>93</v>
      </c>
      <c r="AI96" s="9">
        <f>'5チーム2回戦総当たりスケジュール作業表'!$X$14</f>
        <v>0</v>
      </c>
      <c r="AJ96" s="9">
        <f>'5チーム2回戦総当たりスケジュール作業表'!$X$15</f>
        <v>0</v>
      </c>
      <c r="AK96" s="9" t="e">
        <f t="shared" ca="1" si="16"/>
        <v>#N/A</v>
      </c>
      <c r="AL96" s="9" t="e">
        <f t="shared" ca="1" si="17"/>
        <v>#N/A</v>
      </c>
      <c r="AM96" s="198" t="e">
        <f t="shared" ca="1" si="14"/>
        <v>#N/A</v>
      </c>
    </row>
    <row r="97" spans="1:39" ht="18" hidden="1" customHeight="1" x14ac:dyDescent="0.15">
      <c r="A97" s="199">
        <v>16</v>
      </c>
      <c r="B97" s="239">
        <f>'5チーム2回戦総当たりスケジュール作業表'!$B$21</f>
        <v>0</v>
      </c>
      <c r="C97" s="250" t="s">
        <v>7</v>
      </c>
      <c r="D97" s="251">
        <f t="shared" ca="1" si="15"/>
        <v>66</v>
      </c>
      <c r="E97" s="252">
        <f ca="1">OFFSET('5チーム2回戦総当たりスケジュール作業表'!$B$5,16,7)</f>
        <v>0</v>
      </c>
      <c r="F97" s="253"/>
      <c r="G97" s="254" t="s">
        <v>0</v>
      </c>
      <c r="H97" s="255"/>
      <c r="I97" s="252">
        <f ca="1">OFFSET('5チーム2回戦総当たりスケジュール作業表'!$B$5,16,8)</f>
        <v>0</v>
      </c>
      <c r="J97" s="256" t="str">
        <f t="shared" ca="1" si="11"/>
        <v>00</v>
      </c>
      <c r="K97" s="257"/>
      <c r="L97" s="258"/>
      <c r="M97" s="249">
        <f t="shared" si="12"/>
        <v>16</v>
      </c>
      <c r="S97" s="223"/>
      <c r="T97" s="223"/>
      <c r="AG97" s="181" t="str">
        <f t="shared" si="13"/>
        <v>00</v>
      </c>
      <c r="AH97" s="9">
        <v>94</v>
      </c>
      <c r="AI97" s="9">
        <f>'5チーム2回戦総当たりスケジュール作業表'!$X$14</f>
        <v>0</v>
      </c>
      <c r="AJ97" s="9">
        <f>'5チーム2回戦総当たりスケジュール作業表'!$X$16</f>
        <v>0</v>
      </c>
      <c r="AK97" s="9" t="e">
        <f t="shared" ca="1" si="16"/>
        <v>#N/A</v>
      </c>
      <c r="AL97" s="9" t="e">
        <f t="shared" ca="1" si="17"/>
        <v>#N/A</v>
      </c>
      <c r="AM97" s="198" t="e">
        <f t="shared" ca="1" si="14"/>
        <v>#N/A</v>
      </c>
    </row>
    <row r="98" spans="1:39" ht="18" hidden="1" customHeight="1" x14ac:dyDescent="0.15">
      <c r="A98" s="199">
        <v>16</v>
      </c>
      <c r="B98" s="239">
        <f>'5チーム2回戦総当たりスケジュール作業表'!$B$21</f>
        <v>0</v>
      </c>
      <c r="C98" s="240" t="s">
        <v>6</v>
      </c>
      <c r="D98" s="241">
        <f t="shared" ca="1" si="15"/>
        <v>66</v>
      </c>
      <c r="E98" s="242">
        <f ca="1">OFFSET('5チーム2回戦総当たりスケジュール作業表'!$B$5,16,9)</f>
        <v>0</v>
      </c>
      <c r="F98" s="243"/>
      <c r="G98" s="244" t="s">
        <v>0</v>
      </c>
      <c r="H98" s="245"/>
      <c r="I98" s="242">
        <f ca="1">OFFSET('5チーム2回戦総当たりスケジュール作業表'!$B$5,16,10)</f>
        <v>0</v>
      </c>
      <c r="J98" s="246" t="str">
        <f t="shared" ca="1" si="11"/>
        <v>00</v>
      </c>
      <c r="K98" s="257"/>
      <c r="L98" s="258"/>
      <c r="M98" s="249">
        <f t="shared" si="12"/>
        <v>16</v>
      </c>
      <c r="S98" s="223"/>
      <c r="T98" s="223"/>
      <c r="AG98" s="181" t="str">
        <f t="shared" si="13"/>
        <v>00</v>
      </c>
      <c r="AH98" s="9">
        <v>95</v>
      </c>
      <c r="AI98" s="9">
        <f>'5チーム2回戦総当たりスケジュール作業表'!$X$14</f>
        <v>0</v>
      </c>
      <c r="AJ98" s="9">
        <f>'5チーム2回戦総当たりスケジュール作業表'!$X$17</f>
        <v>0</v>
      </c>
      <c r="AK98" s="9" t="e">
        <f t="shared" ca="1" si="16"/>
        <v>#N/A</v>
      </c>
      <c r="AL98" s="9" t="e">
        <f t="shared" ca="1" si="17"/>
        <v>#N/A</v>
      </c>
      <c r="AM98" s="198" t="e">
        <f t="shared" ca="1" si="14"/>
        <v>#N/A</v>
      </c>
    </row>
    <row r="99" spans="1:39" ht="18" hidden="1" customHeight="1" thickBot="1" x14ac:dyDescent="0.2">
      <c r="A99" s="273">
        <v>16</v>
      </c>
      <c r="B99" s="274">
        <f>'5チーム2回戦総当たりスケジュール作業表'!$B$21</f>
        <v>0</v>
      </c>
      <c r="C99" s="275" t="s">
        <v>7</v>
      </c>
      <c r="D99" s="276">
        <f t="shared" ca="1" si="15"/>
        <v>66</v>
      </c>
      <c r="E99" s="277">
        <f ca="1">OFFSET('5チーム2回戦総当たりスケジュール作業表'!$B$5,16,11)</f>
        <v>0</v>
      </c>
      <c r="F99" s="278"/>
      <c r="G99" s="279" t="s">
        <v>0</v>
      </c>
      <c r="H99" s="280"/>
      <c r="I99" s="277">
        <f ca="1">OFFSET('5チーム2回戦総当たりスケジュール作業表'!$B$5,16,12)</f>
        <v>0</v>
      </c>
      <c r="J99" s="281" t="str">
        <f t="shared" ca="1" si="11"/>
        <v>00</v>
      </c>
      <c r="K99" s="282"/>
      <c r="L99" s="283"/>
      <c r="M99" s="284">
        <f t="shared" si="12"/>
        <v>16</v>
      </c>
      <c r="S99" s="223"/>
      <c r="T99" s="223"/>
      <c r="AG99" s="181" t="str">
        <f t="shared" si="13"/>
        <v>00</v>
      </c>
      <c r="AH99" s="9">
        <v>96</v>
      </c>
      <c r="AI99" s="9">
        <f>'5チーム2回戦総当たりスケジュール作業表'!$X$14</f>
        <v>0</v>
      </c>
      <c r="AJ99" s="9">
        <f>'5チーム2回戦総当たりスケジュール作業表'!$X$18</f>
        <v>0</v>
      </c>
      <c r="AK99" s="9" t="e">
        <f t="shared" ca="1" si="16"/>
        <v>#N/A</v>
      </c>
      <c r="AL99" s="9" t="e">
        <f t="shared" ca="1" si="17"/>
        <v>#N/A</v>
      </c>
      <c r="AM99" s="198" t="e">
        <f t="shared" ca="1" si="14"/>
        <v>#N/A</v>
      </c>
    </row>
    <row r="100" spans="1:39" ht="18" hidden="1" customHeight="1" x14ac:dyDescent="0.15">
      <c r="A100" s="285"/>
      <c r="B100" s="11"/>
      <c r="D100" s="286"/>
      <c r="E100" s="287"/>
      <c r="F100" s="288"/>
      <c r="G100" s="289"/>
      <c r="H100" s="290"/>
      <c r="I100" s="287"/>
      <c r="J100" s="287"/>
      <c r="K100" s="287"/>
      <c r="L100" s="287"/>
      <c r="M100" s="285"/>
      <c r="S100" s="223"/>
      <c r="T100" s="223"/>
      <c r="AG100" s="181" t="str">
        <f t="shared" ref="AG100:AG163" si="18">AI100&amp;AJ100</f>
        <v>00</v>
      </c>
      <c r="AH100" s="9">
        <v>97</v>
      </c>
      <c r="AI100" s="9">
        <f>'5チーム2回戦総当たりスケジュール作業表'!$X$14</f>
        <v>0</v>
      </c>
      <c r="AJ100" s="9">
        <f>'5チーム2回戦総当たりスケジュール作業表'!$X$19</f>
        <v>0</v>
      </c>
      <c r="AK100" s="9" t="e">
        <f t="shared" ca="1" si="16"/>
        <v>#N/A</v>
      </c>
      <c r="AL100" s="9" t="e">
        <f t="shared" ca="1" si="17"/>
        <v>#N/A</v>
      </c>
      <c r="AM100" s="198" t="e">
        <f t="shared" ref="AM100:AM163" ca="1" si="19">VLOOKUP(AH100,$D$4:$M$123,10,0)</f>
        <v>#N/A</v>
      </c>
    </row>
    <row r="101" spans="1:39" ht="18" hidden="1" customHeight="1" x14ac:dyDescent="0.15">
      <c r="A101" s="285"/>
      <c r="B101" s="11"/>
      <c r="D101" s="286"/>
      <c r="E101" s="287"/>
      <c r="F101" s="288"/>
      <c r="G101" s="289"/>
      <c r="H101" s="290"/>
      <c r="I101" s="287"/>
      <c r="J101" s="287"/>
      <c r="K101" s="287"/>
      <c r="L101" s="287"/>
      <c r="M101" s="285"/>
      <c r="S101" s="223"/>
      <c r="T101" s="223"/>
      <c r="AG101" s="181" t="str">
        <f t="shared" si="18"/>
        <v>00</v>
      </c>
      <c r="AH101" s="9">
        <v>98</v>
      </c>
      <c r="AI101" s="9">
        <f>'5チーム2回戦総当たりスケジュール作業表'!$X$14</f>
        <v>0</v>
      </c>
      <c r="AJ101" s="9">
        <f>'5チーム2回戦総当たりスケジュール作業表'!$X$20</f>
        <v>0</v>
      </c>
      <c r="AK101" s="9" t="e">
        <f t="shared" ca="1" si="16"/>
        <v>#N/A</v>
      </c>
      <c r="AL101" s="9" t="e">
        <f t="shared" ca="1" si="17"/>
        <v>#N/A</v>
      </c>
      <c r="AM101" s="198" t="e">
        <f t="shared" ca="1" si="19"/>
        <v>#N/A</v>
      </c>
    </row>
    <row r="102" spans="1:39" ht="18" hidden="1" customHeight="1" x14ac:dyDescent="0.15">
      <c r="A102" s="285"/>
      <c r="B102" s="11"/>
      <c r="D102" s="286"/>
      <c r="E102" s="287"/>
      <c r="F102" s="288"/>
      <c r="G102" s="289"/>
      <c r="H102" s="290"/>
      <c r="I102" s="287"/>
      <c r="J102" s="287"/>
      <c r="K102" s="287"/>
      <c r="L102" s="287"/>
      <c r="M102" s="285"/>
      <c r="S102" s="223"/>
      <c r="T102" s="223"/>
      <c r="AG102" s="181" t="str">
        <f t="shared" si="18"/>
        <v>00</v>
      </c>
      <c r="AH102" s="9">
        <v>99</v>
      </c>
      <c r="AI102" s="9">
        <f>'5チーム2回戦総当たりスケジュール作業表'!$X$14</f>
        <v>0</v>
      </c>
      <c r="AJ102" s="9">
        <f>'5チーム2回戦総当たりスケジュール作業表'!$X$21</f>
        <v>0</v>
      </c>
      <c r="AK102" s="9" t="e">
        <f t="shared" ca="1" si="16"/>
        <v>#N/A</v>
      </c>
      <c r="AL102" s="9" t="e">
        <f t="shared" ca="1" si="17"/>
        <v>#N/A</v>
      </c>
      <c r="AM102" s="198" t="e">
        <f t="shared" ca="1" si="19"/>
        <v>#N/A</v>
      </c>
    </row>
    <row r="103" spans="1:39" ht="18" hidden="1" customHeight="1" x14ac:dyDescent="0.15">
      <c r="A103" s="285"/>
      <c r="B103" s="11"/>
      <c r="D103" s="286"/>
      <c r="E103" s="287"/>
      <c r="F103" s="288"/>
      <c r="G103" s="289"/>
      <c r="H103" s="290"/>
      <c r="I103" s="287"/>
      <c r="J103" s="287"/>
      <c r="K103" s="287"/>
      <c r="L103" s="287"/>
      <c r="M103" s="285"/>
      <c r="S103" s="223"/>
      <c r="T103" s="223"/>
      <c r="AG103" s="181" t="str">
        <f t="shared" si="18"/>
        <v>00</v>
      </c>
      <c r="AH103" s="9">
        <v>100</v>
      </c>
      <c r="AI103" s="9">
        <f>'5チーム2回戦総当たりスケジュール作業表'!$X$15</f>
        <v>0</v>
      </c>
      <c r="AJ103" s="9">
        <f>'5チーム2回戦総当たりスケジュール作業表'!$X$16</f>
        <v>0</v>
      </c>
      <c r="AK103" s="9" t="e">
        <f t="shared" ca="1" si="16"/>
        <v>#N/A</v>
      </c>
      <c r="AL103" s="9" t="e">
        <f t="shared" ca="1" si="17"/>
        <v>#N/A</v>
      </c>
      <c r="AM103" s="198" t="e">
        <f t="shared" ca="1" si="19"/>
        <v>#N/A</v>
      </c>
    </row>
    <row r="104" spans="1:39" ht="18" hidden="1" customHeight="1" x14ac:dyDescent="0.15">
      <c r="A104" s="285"/>
      <c r="B104" s="11"/>
      <c r="D104" s="286"/>
      <c r="E104" s="287"/>
      <c r="F104" s="288"/>
      <c r="G104" s="289"/>
      <c r="H104" s="290"/>
      <c r="I104" s="287"/>
      <c r="J104" s="287"/>
      <c r="K104" s="287"/>
      <c r="L104" s="287"/>
      <c r="M104" s="285"/>
      <c r="S104" s="223"/>
      <c r="T104" s="223"/>
      <c r="AG104" s="181" t="str">
        <f t="shared" si="18"/>
        <v>00</v>
      </c>
      <c r="AH104" s="9">
        <v>101</v>
      </c>
      <c r="AI104" s="9">
        <f>'5チーム2回戦総当たりスケジュール作業表'!$X$15</f>
        <v>0</v>
      </c>
      <c r="AJ104" s="9">
        <f>'5チーム2回戦総当たりスケジュール作業表'!$X$17</f>
        <v>0</v>
      </c>
      <c r="AK104" s="9" t="e">
        <f t="shared" ca="1" si="16"/>
        <v>#N/A</v>
      </c>
      <c r="AL104" s="9" t="e">
        <f t="shared" ca="1" si="17"/>
        <v>#N/A</v>
      </c>
      <c r="AM104" s="198" t="e">
        <f t="shared" ca="1" si="19"/>
        <v>#N/A</v>
      </c>
    </row>
    <row r="105" spans="1:39" ht="18" hidden="1" customHeight="1" x14ac:dyDescent="0.15">
      <c r="A105" s="285"/>
      <c r="B105" s="11"/>
      <c r="D105" s="286"/>
      <c r="E105" s="287"/>
      <c r="F105" s="288"/>
      <c r="G105" s="289"/>
      <c r="H105" s="290"/>
      <c r="I105" s="287"/>
      <c r="J105" s="287"/>
      <c r="K105" s="287"/>
      <c r="L105" s="287"/>
      <c r="M105" s="285"/>
      <c r="S105" s="223"/>
      <c r="T105" s="223"/>
      <c r="AG105" s="181" t="str">
        <f t="shared" si="18"/>
        <v>00</v>
      </c>
      <c r="AH105" s="9">
        <v>102</v>
      </c>
      <c r="AI105" s="9">
        <f>'5チーム2回戦総当たりスケジュール作業表'!$X$15</f>
        <v>0</v>
      </c>
      <c r="AJ105" s="9">
        <f>'5チーム2回戦総当たりスケジュール作業表'!$X$18</f>
        <v>0</v>
      </c>
      <c r="AK105" s="9" t="e">
        <f t="shared" ca="1" si="16"/>
        <v>#N/A</v>
      </c>
      <c r="AL105" s="9" t="e">
        <f t="shared" ca="1" si="17"/>
        <v>#N/A</v>
      </c>
      <c r="AM105" s="198" t="e">
        <f t="shared" ca="1" si="19"/>
        <v>#N/A</v>
      </c>
    </row>
    <row r="106" spans="1:39" ht="18" hidden="1" customHeight="1" x14ac:dyDescent="0.15">
      <c r="A106" s="285"/>
      <c r="B106" s="11"/>
      <c r="D106" s="286"/>
      <c r="E106" s="287"/>
      <c r="F106" s="288"/>
      <c r="G106" s="289"/>
      <c r="H106" s="290"/>
      <c r="I106" s="287"/>
      <c r="J106" s="287"/>
      <c r="K106" s="287"/>
      <c r="L106" s="287"/>
      <c r="M106" s="285"/>
      <c r="S106" s="223"/>
      <c r="T106" s="223"/>
      <c r="AG106" s="181" t="str">
        <f t="shared" si="18"/>
        <v>00</v>
      </c>
      <c r="AH106" s="9">
        <v>103</v>
      </c>
      <c r="AI106" s="9">
        <f>'5チーム2回戦総当たりスケジュール作業表'!$X$15</f>
        <v>0</v>
      </c>
      <c r="AJ106" s="9">
        <f>'5チーム2回戦総当たりスケジュール作業表'!$X$19</f>
        <v>0</v>
      </c>
      <c r="AK106" s="9" t="e">
        <f t="shared" ca="1" si="16"/>
        <v>#N/A</v>
      </c>
      <c r="AL106" s="9" t="e">
        <f t="shared" ca="1" si="17"/>
        <v>#N/A</v>
      </c>
      <c r="AM106" s="198" t="e">
        <f t="shared" ca="1" si="19"/>
        <v>#N/A</v>
      </c>
    </row>
    <row r="107" spans="1:39" ht="18" hidden="1" customHeight="1" x14ac:dyDescent="0.15">
      <c r="A107" s="285"/>
      <c r="B107" s="11"/>
      <c r="D107" s="286"/>
      <c r="E107" s="287"/>
      <c r="F107" s="288"/>
      <c r="G107" s="289"/>
      <c r="H107" s="290"/>
      <c r="I107" s="287"/>
      <c r="J107" s="287"/>
      <c r="K107" s="287"/>
      <c r="L107" s="287"/>
      <c r="M107" s="285"/>
      <c r="S107" s="223"/>
      <c r="T107" s="223"/>
      <c r="AG107" s="181" t="str">
        <f t="shared" si="18"/>
        <v>00</v>
      </c>
      <c r="AH107" s="9">
        <v>104</v>
      </c>
      <c r="AI107" s="9">
        <f>'5チーム2回戦総当たりスケジュール作業表'!$X$15</f>
        <v>0</v>
      </c>
      <c r="AJ107" s="9">
        <f>'5チーム2回戦総当たりスケジュール作業表'!$X$20</f>
        <v>0</v>
      </c>
      <c r="AK107" s="9" t="e">
        <f t="shared" ca="1" si="16"/>
        <v>#N/A</v>
      </c>
      <c r="AL107" s="9" t="e">
        <f t="shared" ca="1" si="17"/>
        <v>#N/A</v>
      </c>
      <c r="AM107" s="198" t="e">
        <f t="shared" ca="1" si="19"/>
        <v>#N/A</v>
      </c>
    </row>
    <row r="108" spans="1:39" ht="18" hidden="1" customHeight="1" x14ac:dyDescent="0.15">
      <c r="A108" s="285"/>
      <c r="B108" s="11"/>
      <c r="D108" s="286"/>
      <c r="E108" s="287"/>
      <c r="F108" s="288"/>
      <c r="G108" s="289"/>
      <c r="H108" s="290"/>
      <c r="I108" s="287"/>
      <c r="J108" s="287"/>
      <c r="K108" s="287"/>
      <c r="L108" s="287"/>
      <c r="M108" s="285"/>
      <c r="S108" s="223"/>
      <c r="T108" s="223"/>
      <c r="AG108" s="181" t="str">
        <f t="shared" si="18"/>
        <v>00</v>
      </c>
      <c r="AH108" s="9">
        <v>105</v>
      </c>
      <c r="AI108" s="9">
        <f>'5チーム2回戦総当たりスケジュール作業表'!$X$15</f>
        <v>0</v>
      </c>
      <c r="AJ108" s="9">
        <f>'5チーム2回戦総当たりスケジュール作業表'!$X$21</f>
        <v>0</v>
      </c>
      <c r="AK108" s="9" t="e">
        <f t="shared" ca="1" si="16"/>
        <v>#N/A</v>
      </c>
      <c r="AL108" s="9" t="e">
        <f t="shared" ca="1" si="17"/>
        <v>#N/A</v>
      </c>
      <c r="AM108" s="198" t="e">
        <f t="shared" ca="1" si="19"/>
        <v>#N/A</v>
      </c>
    </row>
    <row r="109" spans="1:39" ht="18" hidden="1" customHeight="1" x14ac:dyDescent="0.15">
      <c r="A109" s="285"/>
      <c r="B109" s="11"/>
      <c r="D109" s="286"/>
      <c r="E109" s="287"/>
      <c r="F109" s="288"/>
      <c r="G109" s="289"/>
      <c r="H109" s="290"/>
      <c r="I109" s="287"/>
      <c r="J109" s="287"/>
      <c r="K109" s="287"/>
      <c r="L109" s="287"/>
      <c r="M109" s="285"/>
      <c r="S109" s="223"/>
      <c r="T109" s="223"/>
      <c r="AG109" s="181" t="str">
        <f t="shared" si="18"/>
        <v>00</v>
      </c>
      <c r="AH109" s="9">
        <v>106</v>
      </c>
      <c r="AI109" s="9">
        <f>'5チーム2回戦総当たりスケジュール作業表'!$X$16</f>
        <v>0</v>
      </c>
      <c r="AJ109" s="9">
        <f>'5チーム2回戦総当たりスケジュール作業表'!$X$17</f>
        <v>0</v>
      </c>
      <c r="AK109" s="9" t="e">
        <f t="shared" ca="1" si="16"/>
        <v>#N/A</v>
      </c>
      <c r="AL109" s="9" t="e">
        <f t="shared" ca="1" si="17"/>
        <v>#N/A</v>
      </c>
      <c r="AM109" s="198" t="e">
        <f t="shared" ca="1" si="19"/>
        <v>#N/A</v>
      </c>
    </row>
    <row r="110" spans="1:39" ht="18" hidden="1" customHeight="1" x14ac:dyDescent="0.15">
      <c r="A110" s="285"/>
      <c r="B110" s="11"/>
      <c r="D110" s="286"/>
      <c r="E110" s="287"/>
      <c r="F110" s="288"/>
      <c r="G110" s="289"/>
      <c r="H110" s="290"/>
      <c r="I110" s="287"/>
      <c r="J110" s="287"/>
      <c r="K110" s="287"/>
      <c r="L110" s="287"/>
      <c r="M110" s="285"/>
      <c r="S110" s="223"/>
      <c r="T110" s="223"/>
      <c r="AG110" s="181" t="str">
        <f t="shared" si="18"/>
        <v>00</v>
      </c>
      <c r="AH110" s="9">
        <v>107</v>
      </c>
      <c r="AI110" s="9">
        <f>'5チーム2回戦総当たりスケジュール作業表'!$X$16</f>
        <v>0</v>
      </c>
      <c r="AJ110" s="9">
        <f>'5チーム2回戦総当たりスケジュール作業表'!$X$18</f>
        <v>0</v>
      </c>
      <c r="AK110" s="9" t="e">
        <f t="shared" ca="1" si="16"/>
        <v>#N/A</v>
      </c>
      <c r="AL110" s="9" t="e">
        <f t="shared" ca="1" si="17"/>
        <v>#N/A</v>
      </c>
      <c r="AM110" s="198" t="e">
        <f t="shared" ca="1" si="19"/>
        <v>#N/A</v>
      </c>
    </row>
    <row r="111" spans="1:39" ht="18" hidden="1" customHeight="1" x14ac:dyDescent="0.15">
      <c r="A111" s="285"/>
      <c r="B111" s="11"/>
      <c r="D111" s="286"/>
      <c r="E111" s="287"/>
      <c r="F111" s="288"/>
      <c r="G111" s="289"/>
      <c r="H111" s="290"/>
      <c r="I111" s="287"/>
      <c r="J111" s="287"/>
      <c r="K111" s="287"/>
      <c r="L111" s="287"/>
      <c r="M111" s="285"/>
      <c r="S111" s="223"/>
      <c r="T111" s="223"/>
      <c r="AG111" s="181" t="str">
        <f t="shared" si="18"/>
        <v>00</v>
      </c>
      <c r="AH111" s="9">
        <v>108</v>
      </c>
      <c r="AI111" s="9">
        <f>'5チーム2回戦総当たりスケジュール作業表'!$X$16</f>
        <v>0</v>
      </c>
      <c r="AJ111" s="9">
        <f>'5チーム2回戦総当たりスケジュール作業表'!$X$19</f>
        <v>0</v>
      </c>
      <c r="AK111" s="9" t="e">
        <f t="shared" ca="1" si="16"/>
        <v>#N/A</v>
      </c>
      <c r="AL111" s="9" t="e">
        <f t="shared" ca="1" si="17"/>
        <v>#N/A</v>
      </c>
      <c r="AM111" s="198" t="e">
        <f t="shared" ca="1" si="19"/>
        <v>#N/A</v>
      </c>
    </row>
    <row r="112" spans="1:39" ht="18" hidden="1" customHeight="1" x14ac:dyDescent="0.15">
      <c r="A112" s="291"/>
      <c r="B112" s="292"/>
      <c r="C112" s="293"/>
      <c r="D112" s="294"/>
      <c r="E112" s="295"/>
      <c r="F112" s="296"/>
      <c r="G112" s="297"/>
      <c r="H112" s="298"/>
      <c r="I112" s="295"/>
      <c r="J112" s="295"/>
      <c r="K112" s="295"/>
      <c r="L112" s="295"/>
      <c r="M112" s="291"/>
      <c r="S112" s="223"/>
      <c r="T112" s="223"/>
      <c r="AG112" s="181" t="str">
        <f t="shared" si="18"/>
        <v>00</v>
      </c>
      <c r="AH112" s="9">
        <v>109</v>
      </c>
      <c r="AI112" s="9">
        <f>'5チーム2回戦総当たりスケジュール作業表'!$X$16</f>
        <v>0</v>
      </c>
      <c r="AJ112" s="9">
        <f>'5チーム2回戦総当たりスケジュール作業表'!$X$20</f>
        <v>0</v>
      </c>
      <c r="AK112" s="9" t="e">
        <f t="shared" ca="1" si="16"/>
        <v>#N/A</v>
      </c>
      <c r="AL112" s="9" t="e">
        <f t="shared" ca="1" si="17"/>
        <v>#N/A</v>
      </c>
      <c r="AM112" s="198" t="e">
        <f t="shared" ca="1" si="19"/>
        <v>#N/A</v>
      </c>
    </row>
    <row r="113" spans="1:39" ht="18" hidden="1" customHeight="1" x14ac:dyDescent="0.15">
      <c r="A113" s="291"/>
      <c r="B113" s="292"/>
      <c r="C113" s="293"/>
      <c r="D113" s="294"/>
      <c r="E113" s="295"/>
      <c r="F113" s="296"/>
      <c r="G113" s="297"/>
      <c r="H113" s="298"/>
      <c r="I113" s="295"/>
      <c r="J113" s="295"/>
      <c r="K113" s="295"/>
      <c r="L113" s="295"/>
      <c r="M113" s="291"/>
      <c r="S113" s="223"/>
      <c r="T113" s="223"/>
      <c r="AG113" s="181" t="str">
        <f t="shared" si="18"/>
        <v>00</v>
      </c>
      <c r="AH113" s="9">
        <v>110</v>
      </c>
      <c r="AI113" s="9">
        <f>'5チーム2回戦総当たりスケジュール作業表'!$X$16</f>
        <v>0</v>
      </c>
      <c r="AJ113" s="9">
        <f>'5チーム2回戦総当たりスケジュール作業表'!$X$21</f>
        <v>0</v>
      </c>
      <c r="AK113" s="9" t="e">
        <f t="shared" ca="1" si="16"/>
        <v>#N/A</v>
      </c>
      <c r="AL113" s="9" t="e">
        <f t="shared" ca="1" si="17"/>
        <v>#N/A</v>
      </c>
      <c r="AM113" s="198" t="e">
        <f t="shared" ca="1" si="19"/>
        <v>#N/A</v>
      </c>
    </row>
    <row r="114" spans="1:39" ht="18" hidden="1" customHeight="1" x14ac:dyDescent="0.15">
      <c r="A114" s="291"/>
      <c r="B114" s="292"/>
      <c r="C114" s="293"/>
      <c r="D114" s="294"/>
      <c r="E114" s="295"/>
      <c r="F114" s="296"/>
      <c r="G114" s="297"/>
      <c r="H114" s="298"/>
      <c r="I114" s="295"/>
      <c r="J114" s="295"/>
      <c r="K114" s="295"/>
      <c r="L114" s="295"/>
      <c r="M114" s="291"/>
      <c r="S114" s="223"/>
      <c r="T114" s="223"/>
      <c r="AG114" s="181" t="str">
        <f t="shared" si="18"/>
        <v>00</v>
      </c>
      <c r="AH114" s="9">
        <v>111</v>
      </c>
      <c r="AI114" s="9">
        <f>'5チーム2回戦総当たりスケジュール作業表'!$X$17</f>
        <v>0</v>
      </c>
      <c r="AJ114" s="9">
        <f>'5チーム2回戦総当たりスケジュール作業表'!$X$18</f>
        <v>0</v>
      </c>
      <c r="AK114" s="9" t="e">
        <f t="shared" ca="1" si="16"/>
        <v>#N/A</v>
      </c>
      <c r="AL114" s="9" t="e">
        <f t="shared" ca="1" si="17"/>
        <v>#N/A</v>
      </c>
      <c r="AM114" s="198" t="e">
        <f t="shared" ca="1" si="19"/>
        <v>#N/A</v>
      </c>
    </row>
    <row r="115" spans="1:39" ht="18" hidden="1" customHeight="1" x14ac:dyDescent="0.15">
      <c r="A115" s="291"/>
      <c r="B115" s="292"/>
      <c r="C115" s="293"/>
      <c r="D115" s="294"/>
      <c r="E115" s="295"/>
      <c r="F115" s="296"/>
      <c r="G115" s="297"/>
      <c r="H115" s="298"/>
      <c r="I115" s="295"/>
      <c r="J115" s="295"/>
      <c r="K115" s="295"/>
      <c r="L115" s="295"/>
      <c r="M115" s="291"/>
      <c r="S115" s="223"/>
      <c r="T115" s="223"/>
      <c r="AG115" s="181" t="str">
        <f t="shared" si="18"/>
        <v>00</v>
      </c>
      <c r="AH115" s="9">
        <v>112</v>
      </c>
      <c r="AI115" s="9">
        <f>'5チーム2回戦総当たりスケジュール作業表'!$X$17</f>
        <v>0</v>
      </c>
      <c r="AJ115" s="9">
        <f>'5チーム2回戦総当たりスケジュール作業表'!$X$19</f>
        <v>0</v>
      </c>
      <c r="AK115" s="9" t="e">
        <f t="shared" ca="1" si="16"/>
        <v>#N/A</v>
      </c>
      <c r="AL115" s="9" t="e">
        <f t="shared" ca="1" si="17"/>
        <v>#N/A</v>
      </c>
      <c r="AM115" s="198" t="e">
        <f t="shared" ca="1" si="19"/>
        <v>#N/A</v>
      </c>
    </row>
    <row r="116" spans="1:39" ht="18" hidden="1" customHeight="1" x14ac:dyDescent="0.15">
      <c r="A116" s="291"/>
      <c r="B116" s="292"/>
      <c r="C116" s="293"/>
      <c r="D116" s="294"/>
      <c r="E116" s="295"/>
      <c r="F116" s="296"/>
      <c r="G116" s="297"/>
      <c r="H116" s="298"/>
      <c r="I116" s="295"/>
      <c r="J116" s="295"/>
      <c r="K116" s="295"/>
      <c r="L116" s="295"/>
      <c r="M116" s="291"/>
      <c r="S116" s="223"/>
      <c r="T116" s="223"/>
      <c r="AG116" s="181" t="str">
        <f t="shared" si="18"/>
        <v>00</v>
      </c>
      <c r="AH116" s="9">
        <v>113</v>
      </c>
      <c r="AI116" s="9">
        <f>'5チーム2回戦総当たりスケジュール作業表'!$X$17</f>
        <v>0</v>
      </c>
      <c r="AJ116" s="9">
        <f>'5チーム2回戦総当たりスケジュール作業表'!$X$20</f>
        <v>0</v>
      </c>
      <c r="AK116" s="9" t="e">
        <f t="shared" ca="1" si="16"/>
        <v>#N/A</v>
      </c>
      <c r="AL116" s="9" t="e">
        <f t="shared" ca="1" si="17"/>
        <v>#N/A</v>
      </c>
      <c r="AM116" s="198" t="e">
        <f t="shared" ca="1" si="19"/>
        <v>#N/A</v>
      </c>
    </row>
    <row r="117" spans="1:39" ht="18" hidden="1" customHeight="1" x14ac:dyDescent="0.15">
      <c r="A117" s="291"/>
      <c r="B117" s="292"/>
      <c r="C117" s="293"/>
      <c r="D117" s="294"/>
      <c r="E117" s="295"/>
      <c r="F117" s="296"/>
      <c r="G117" s="297"/>
      <c r="H117" s="298"/>
      <c r="I117" s="295"/>
      <c r="J117" s="295"/>
      <c r="K117" s="295"/>
      <c r="L117" s="295"/>
      <c r="M117" s="291"/>
      <c r="S117" s="223"/>
      <c r="T117" s="223"/>
      <c r="AG117" s="181" t="str">
        <f t="shared" si="18"/>
        <v>00</v>
      </c>
      <c r="AH117" s="9">
        <v>114</v>
      </c>
      <c r="AI117" s="9">
        <f>'5チーム2回戦総当たりスケジュール作業表'!$X$17</f>
        <v>0</v>
      </c>
      <c r="AJ117" s="9">
        <f>'5チーム2回戦総当たりスケジュール作業表'!$X$21</f>
        <v>0</v>
      </c>
      <c r="AK117" s="9" t="e">
        <f t="shared" ca="1" si="16"/>
        <v>#N/A</v>
      </c>
      <c r="AL117" s="9" t="e">
        <f t="shared" ca="1" si="17"/>
        <v>#N/A</v>
      </c>
      <c r="AM117" s="198" t="e">
        <f t="shared" ca="1" si="19"/>
        <v>#N/A</v>
      </c>
    </row>
    <row r="118" spans="1:39" ht="18" hidden="1" customHeight="1" x14ac:dyDescent="0.15">
      <c r="A118" s="291"/>
      <c r="B118" s="292"/>
      <c r="C118" s="293"/>
      <c r="D118" s="294"/>
      <c r="E118" s="295"/>
      <c r="F118" s="296"/>
      <c r="G118" s="297"/>
      <c r="H118" s="298"/>
      <c r="I118" s="295"/>
      <c r="J118" s="295"/>
      <c r="K118" s="295"/>
      <c r="L118" s="295"/>
      <c r="M118" s="291"/>
      <c r="S118" s="223"/>
      <c r="T118" s="223"/>
      <c r="AG118" s="181" t="str">
        <f t="shared" si="18"/>
        <v>00</v>
      </c>
      <c r="AH118" s="9">
        <v>115</v>
      </c>
      <c r="AI118" s="9">
        <f>'5チーム2回戦総当たりスケジュール作業表'!$X$18</f>
        <v>0</v>
      </c>
      <c r="AJ118" s="9">
        <f>'5チーム2回戦総当たりスケジュール作業表'!$X$19</f>
        <v>0</v>
      </c>
      <c r="AK118" s="9" t="e">
        <f t="shared" ca="1" si="16"/>
        <v>#N/A</v>
      </c>
      <c r="AL118" s="9" t="e">
        <f t="shared" ca="1" si="17"/>
        <v>#N/A</v>
      </c>
      <c r="AM118" s="198" t="e">
        <f t="shared" ca="1" si="19"/>
        <v>#N/A</v>
      </c>
    </row>
    <row r="119" spans="1:39" ht="18" hidden="1" customHeight="1" x14ac:dyDescent="0.15">
      <c r="A119" s="291"/>
      <c r="B119" s="292"/>
      <c r="C119" s="293"/>
      <c r="D119" s="294"/>
      <c r="E119" s="295"/>
      <c r="F119" s="296"/>
      <c r="G119" s="297"/>
      <c r="H119" s="298"/>
      <c r="I119" s="295"/>
      <c r="J119" s="295"/>
      <c r="K119" s="295"/>
      <c r="L119" s="295"/>
      <c r="M119" s="291"/>
      <c r="S119" s="223"/>
      <c r="T119" s="223"/>
      <c r="AG119" s="181" t="str">
        <f t="shared" si="18"/>
        <v>00</v>
      </c>
      <c r="AH119" s="9">
        <v>116</v>
      </c>
      <c r="AI119" s="9">
        <f>'5チーム2回戦総当たりスケジュール作業表'!$X$18</f>
        <v>0</v>
      </c>
      <c r="AJ119" s="9">
        <f>'5チーム2回戦総当たりスケジュール作業表'!$X$20</f>
        <v>0</v>
      </c>
      <c r="AK119" s="9" t="e">
        <f t="shared" ca="1" si="16"/>
        <v>#N/A</v>
      </c>
      <c r="AL119" s="9" t="e">
        <f t="shared" ca="1" si="17"/>
        <v>#N/A</v>
      </c>
      <c r="AM119" s="198" t="e">
        <f t="shared" ca="1" si="19"/>
        <v>#N/A</v>
      </c>
    </row>
    <row r="120" spans="1:39" ht="18" hidden="1" customHeight="1" x14ac:dyDescent="0.15">
      <c r="A120" s="291"/>
      <c r="B120" s="292"/>
      <c r="C120" s="293"/>
      <c r="D120" s="294"/>
      <c r="E120" s="295"/>
      <c r="F120" s="296"/>
      <c r="G120" s="297"/>
      <c r="H120" s="298"/>
      <c r="I120" s="295"/>
      <c r="J120" s="295"/>
      <c r="K120" s="295"/>
      <c r="L120" s="295"/>
      <c r="M120" s="291"/>
      <c r="N120" s="13"/>
      <c r="O120" s="13"/>
      <c r="P120" s="13"/>
      <c r="Q120" s="13"/>
      <c r="R120" s="13"/>
      <c r="S120" s="12"/>
      <c r="T120" s="94"/>
      <c r="U120" s="94"/>
      <c r="Z120" s="223"/>
      <c r="AA120" s="223"/>
      <c r="AG120" s="181" t="str">
        <f t="shared" si="18"/>
        <v>00</v>
      </c>
      <c r="AH120" s="9">
        <v>117</v>
      </c>
      <c r="AI120" s="9">
        <f>'5チーム2回戦総当たりスケジュール作業表'!$X$18</f>
        <v>0</v>
      </c>
      <c r="AJ120" s="9">
        <f>'5チーム2回戦総当たりスケジュール作業表'!$X$21</f>
        <v>0</v>
      </c>
      <c r="AK120" s="9" t="e">
        <f t="shared" ca="1" si="16"/>
        <v>#N/A</v>
      </c>
      <c r="AL120" s="9" t="e">
        <f t="shared" ca="1" si="17"/>
        <v>#N/A</v>
      </c>
      <c r="AM120" s="198" t="e">
        <f t="shared" ca="1" si="19"/>
        <v>#N/A</v>
      </c>
    </row>
    <row r="121" spans="1:39" ht="18" hidden="1" customHeight="1" x14ac:dyDescent="0.15">
      <c r="A121" s="291"/>
      <c r="B121" s="292"/>
      <c r="C121" s="293"/>
      <c r="D121" s="294"/>
      <c r="E121" s="295"/>
      <c r="F121" s="296"/>
      <c r="G121" s="297"/>
      <c r="H121" s="298"/>
      <c r="I121" s="295"/>
      <c r="J121" s="295"/>
      <c r="K121" s="299"/>
      <c r="L121" s="293"/>
      <c r="M121" s="291"/>
      <c r="N121" s="13"/>
      <c r="O121" s="13"/>
      <c r="P121" s="13"/>
      <c r="Q121" s="13"/>
      <c r="R121" s="13"/>
      <c r="S121" s="12"/>
      <c r="T121" s="94"/>
      <c r="U121" s="94"/>
      <c r="Z121" s="223"/>
      <c r="AA121" s="223"/>
      <c r="AG121" s="181" t="str">
        <f t="shared" si="18"/>
        <v>00</v>
      </c>
      <c r="AH121" s="9">
        <v>118</v>
      </c>
      <c r="AI121" s="9">
        <f>'5チーム2回戦総当たりスケジュール作業表'!$X$19</f>
        <v>0</v>
      </c>
      <c r="AJ121" s="9">
        <f>'5チーム2回戦総当たりスケジュール作業表'!$X$20</f>
        <v>0</v>
      </c>
      <c r="AK121" s="9" t="e">
        <f t="shared" ca="1" si="16"/>
        <v>#N/A</v>
      </c>
      <c r="AL121" s="9" t="e">
        <f t="shared" ca="1" si="17"/>
        <v>#N/A</v>
      </c>
      <c r="AM121" s="198" t="e">
        <f t="shared" ca="1" si="19"/>
        <v>#N/A</v>
      </c>
    </row>
    <row r="122" spans="1:39" ht="18" hidden="1" customHeight="1" x14ac:dyDescent="0.15">
      <c r="A122" s="291"/>
      <c r="B122" s="292"/>
      <c r="C122" s="293"/>
      <c r="D122" s="294"/>
      <c r="E122" s="295"/>
      <c r="F122" s="296"/>
      <c r="G122" s="297"/>
      <c r="H122" s="298"/>
      <c r="I122" s="295"/>
      <c r="J122" s="295"/>
      <c r="K122" s="299"/>
      <c r="L122" s="293"/>
      <c r="M122" s="291"/>
      <c r="N122" s="13"/>
      <c r="O122" s="13"/>
      <c r="P122" s="13"/>
      <c r="Q122" s="13"/>
      <c r="R122" s="13"/>
      <c r="S122" s="12"/>
      <c r="T122" s="94"/>
      <c r="U122" s="94"/>
      <c r="Z122" s="223"/>
      <c r="AA122" s="223"/>
      <c r="AG122" s="181" t="str">
        <f t="shared" si="18"/>
        <v>00</v>
      </c>
      <c r="AH122" s="9">
        <v>119</v>
      </c>
      <c r="AI122" s="9">
        <f>'5チーム2回戦総当たりスケジュール作業表'!$X$19</f>
        <v>0</v>
      </c>
      <c r="AJ122" s="9">
        <f>'5チーム2回戦総当たりスケジュール作業表'!$X$21</f>
        <v>0</v>
      </c>
      <c r="AK122" s="9" t="e">
        <f t="shared" ca="1" si="16"/>
        <v>#N/A</v>
      </c>
      <c r="AL122" s="9" t="e">
        <f t="shared" ca="1" si="17"/>
        <v>#N/A</v>
      </c>
      <c r="AM122" s="198" t="e">
        <f t="shared" ca="1" si="19"/>
        <v>#N/A</v>
      </c>
    </row>
    <row r="123" spans="1:39" ht="18" hidden="1" customHeight="1" thickBot="1" x14ac:dyDescent="0.2">
      <c r="A123" s="291"/>
      <c r="B123" s="292"/>
      <c r="C123" s="293"/>
      <c r="D123" s="294"/>
      <c r="E123" s="295"/>
      <c r="F123" s="296"/>
      <c r="G123" s="297"/>
      <c r="H123" s="298"/>
      <c r="I123" s="295"/>
      <c r="J123" s="295"/>
      <c r="K123" s="299"/>
      <c r="L123" s="293"/>
      <c r="M123" s="291"/>
      <c r="N123" s="13"/>
      <c r="O123" s="13"/>
      <c r="P123" s="13"/>
      <c r="Q123" s="13"/>
      <c r="R123" s="13"/>
      <c r="S123" s="12"/>
      <c r="T123" s="94"/>
      <c r="U123" s="94"/>
      <c r="Z123" s="223"/>
      <c r="AA123" s="223"/>
      <c r="AG123" s="300" t="str">
        <f t="shared" si="18"/>
        <v>00</v>
      </c>
      <c r="AH123" s="301">
        <v>120</v>
      </c>
      <c r="AI123" s="301">
        <f>'5チーム2回戦総当たりスケジュール作業表'!$X$20</f>
        <v>0</v>
      </c>
      <c r="AJ123" s="301">
        <f>'5チーム2回戦総当たりスケジュール作業表'!$X$21</f>
        <v>0</v>
      </c>
      <c r="AK123" s="301" t="e">
        <f t="shared" ca="1" si="16"/>
        <v>#N/A</v>
      </c>
      <c r="AL123" s="301" t="e">
        <f t="shared" ca="1" si="17"/>
        <v>#N/A</v>
      </c>
      <c r="AM123" s="302" t="e">
        <f t="shared" ca="1" si="19"/>
        <v>#N/A</v>
      </c>
    </row>
    <row r="124" spans="1:39" ht="18" hidden="1" customHeight="1" x14ac:dyDescent="0.15">
      <c r="A124" s="94"/>
      <c r="B124" s="9"/>
      <c r="C124" s="9"/>
      <c r="D124" s="9"/>
      <c r="E124" s="9"/>
      <c r="F124" s="223"/>
      <c r="G124" s="223"/>
      <c r="H124" s="9"/>
      <c r="I124" s="9"/>
      <c r="J124" s="9"/>
      <c r="K124" s="9"/>
      <c r="L124" s="9"/>
      <c r="M124" s="9"/>
      <c r="N124" s="9"/>
      <c r="Z124" s="152"/>
      <c r="AG124" s="303" t="str">
        <f t="shared" si="18"/>
        <v>EteliaT-25</v>
      </c>
      <c r="AH124" s="304">
        <v>121</v>
      </c>
      <c r="AI124" s="305" t="str">
        <f>'5チーム2回戦総当たりスケジュール作業表'!$X$7</f>
        <v>Etelia</v>
      </c>
      <c r="AJ124" s="305" t="str">
        <f>'5チーム2回戦総当たりスケジュール作業表'!$X$6</f>
        <v>T-25</v>
      </c>
      <c r="AK124" s="304">
        <f t="shared" ca="1" si="16"/>
        <v>7</v>
      </c>
      <c r="AL124" s="304">
        <f t="shared" ca="1" si="17"/>
        <v>4</v>
      </c>
      <c r="AM124" s="306">
        <f t="shared" ca="1" si="19"/>
        <v>6</v>
      </c>
    </row>
    <row r="125" spans="1:39" ht="18" hidden="1" customHeight="1" x14ac:dyDescent="0.15">
      <c r="A125" s="94"/>
      <c r="B125" s="9"/>
      <c r="C125" s="9"/>
      <c r="D125" s="9"/>
      <c r="E125" s="9"/>
      <c r="F125" s="223"/>
      <c r="G125" s="223"/>
      <c r="H125" s="9"/>
      <c r="I125" s="9"/>
      <c r="J125" s="9"/>
      <c r="K125" s="9"/>
      <c r="L125" s="9"/>
      <c r="M125" s="9"/>
      <c r="N125" s="9"/>
      <c r="Z125" s="152"/>
      <c r="AG125" s="303" t="str">
        <f t="shared" si="18"/>
        <v>うなぎT-25</v>
      </c>
      <c r="AH125" s="304">
        <v>122</v>
      </c>
      <c r="AI125" s="304" t="str">
        <f>'5チーム2回戦総当たりスケジュール作業表'!$X$8</f>
        <v>うなぎ</v>
      </c>
      <c r="AJ125" s="304" t="str">
        <f>'5チーム2回戦総当たりスケジュール作業表'!$X$6</f>
        <v>T-25</v>
      </c>
      <c r="AK125" s="304">
        <f t="shared" ca="1" si="16"/>
        <v>5</v>
      </c>
      <c r="AL125" s="304">
        <f t="shared" ca="1" si="17"/>
        <v>1</v>
      </c>
      <c r="AM125" s="307">
        <f t="shared" ca="1" si="19"/>
        <v>4</v>
      </c>
    </row>
    <row r="126" spans="1:39" ht="18" hidden="1" customHeight="1" x14ac:dyDescent="0.15">
      <c r="A126" s="94"/>
      <c r="B126" s="9"/>
      <c r="C126" s="9"/>
      <c r="D126" s="9"/>
      <c r="E126" s="9"/>
      <c r="F126" s="223"/>
      <c r="G126" s="223"/>
      <c r="H126" s="9"/>
      <c r="I126" s="9"/>
      <c r="J126" s="9"/>
      <c r="K126" s="9"/>
      <c r="L126" s="9"/>
      <c r="M126" s="9"/>
      <c r="N126" s="9"/>
      <c r="Z126" s="152"/>
      <c r="AG126" s="303" t="str">
        <f t="shared" si="18"/>
        <v>飛杉田新地T-25</v>
      </c>
      <c r="AH126" s="304">
        <v>123</v>
      </c>
      <c r="AI126" s="304" t="str">
        <f>'5チーム2回戦総当たりスケジュール作業表'!$X$9</f>
        <v>飛杉田新地</v>
      </c>
      <c r="AJ126" s="304" t="str">
        <f>'5チーム2回戦総当たりスケジュール作業表'!$X$6</f>
        <v>T-25</v>
      </c>
      <c r="AK126" s="304">
        <f t="shared" ca="1" si="16"/>
        <v>5</v>
      </c>
      <c r="AL126" s="304">
        <f t="shared" ca="1" si="17"/>
        <v>9</v>
      </c>
      <c r="AM126" s="307">
        <f t="shared" ca="1" si="19"/>
        <v>7</v>
      </c>
    </row>
    <row r="127" spans="1:39" ht="18" hidden="1" customHeight="1" x14ac:dyDescent="0.15">
      <c r="A127" s="94"/>
      <c r="B127" s="9"/>
      <c r="C127" s="9"/>
      <c r="D127" s="9"/>
      <c r="E127" s="9"/>
      <c r="F127" s="223"/>
      <c r="G127" s="223"/>
      <c r="H127" s="9"/>
      <c r="I127" s="9"/>
      <c r="J127" s="9"/>
      <c r="K127" s="9"/>
      <c r="L127" s="9"/>
      <c r="M127" s="9"/>
      <c r="N127" s="9"/>
      <c r="Z127" s="152"/>
      <c r="AG127" s="303" t="str">
        <f t="shared" si="18"/>
        <v>PURET-25</v>
      </c>
      <c r="AH127" s="304">
        <v>124</v>
      </c>
      <c r="AI127" s="304" t="str">
        <f>'5チーム2回戦総当たりスケジュール作業表'!$X$10</f>
        <v>PURE</v>
      </c>
      <c r="AJ127" s="304" t="str">
        <f>'5チーム2回戦総当たりスケジュール作業表'!$X$6</f>
        <v>T-25</v>
      </c>
      <c r="AK127" s="304">
        <f t="shared" ca="1" si="16"/>
        <v>11</v>
      </c>
      <c r="AL127" s="304">
        <f t="shared" ca="1" si="17"/>
        <v>9</v>
      </c>
      <c r="AM127" s="307">
        <f t="shared" ca="1" si="19"/>
        <v>2</v>
      </c>
    </row>
    <row r="128" spans="1:39" ht="18" hidden="1" customHeight="1" x14ac:dyDescent="0.15">
      <c r="A128" s="94"/>
      <c r="B128" s="9"/>
      <c r="C128" s="9"/>
      <c r="D128" s="9"/>
      <c r="E128" s="9"/>
      <c r="F128" s="223"/>
      <c r="G128" s="223"/>
      <c r="H128" s="9"/>
      <c r="I128" s="9"/>
      <c r="J128" s="9"/>
      <c r="K128" s="9"/>
      <c r="L128" s="9"/>
      <c r="M128" s="9"/>
      <c r="N128" s="9"/>
      <c r="Z128" s="152"/>
      <c r="AG128" s="303" t="str">
        <f t="shared" si="18"/>
        <v>0T-25</v>
      </c>
      <c r="AH128" s="304">
        <v>125</v>
      </c>
      <c r="AI128" s="304">
        <f>'5チーム2回戦総当たりスケジュール作業表'!$X$11</f>
        <v>0</v>
      </c>
      <c r="AJ128" s="304" t="str">
        <f>'5チーム2回戦総当たりスケジュール作業表'!$X$6</f>
        <v>T-25</v>
      </c>
      <c r="AK128" s="304" t="e">
        <f t="shared" ca="1" si="16"/>
        <v>#N/A</v>
      </c>
      <c r="AL128" s="304" t="e">
        <f t="shared" ca="1" si="17"/>
        <v>#N/A</v>
      </c>
      <c r="AM128" s="307" t="e">
        <f t="shared" ca="1" si="19"/>
        <v>#N/A</v>
      </c>
    </row>
    <row r="129" spans="1:39" ht="18" hidden="1" customHeight="1" x14ac:dyDescent="0.15">
      <c r="A129" s="94"/>
      <c r="B129" s="9"/>
      <c r="C129" s="9"/>
      <c r="D129" s="9"/>
      <c r="E129" s="9"/>
      <c r="F129" s="223"/>
      <c r="G129" s="223"/>
      <c r="H129" s="9"/>
      <c r="I129" s="9"/>
      <c r="J129" s="9"/>
      <c r="K129" s="9"/>
      <c r="L129" s="9"/>
      <c r="M129" s="9"/>
      <c r="N129" s="9"/>
      <c r="Z129" s="152"/>
      <c r="AG129" s="303" t="str">
        <f t="shared" si="18"/>
        <v>0T-25</v>
      </c>
      <c r="AH129" s="304">
        <v>126</v>
      </c>
      <c r="AI129" s="304">
        <f>'5チーム2回戦総当たりスケジュール作業表'!$X$12</f>
        <v>0</v>
      </c>
      <c r="AJ129" s="304" t="str">
        <f>'5チーム2回戦総当たりスケジュール作業表'!$X$6</f>
        <v>T-25</v>
      </c>
      <c r="AK129" s="304" t="e">
        <f t="shared" ca="1" si="16"/>
        <v>#N/A</v>
      </c>
      <c r="AL129" s="304" t="e">
        <f t="shared" ca="1" si="17"/>
        <v>#N/A</v>
      </c>
      <c r="AM129" s="307" t="e">
        <f t="shared" ca="1" si="19"/>
        <v>#N/A</v>
      </c>
    </row>
    <row r="130" spans="1:39" ht="18" hidden="1" customHeight="1" x14ac:dyDescent="0.15">
      <c r="A130" s="94"/>
      <c r="B130" s="9"/>
      <c r="C130" s="9"/>
      <c r="D130" s="9"/>
      <c r="E130" s="9"/>
      <c r="F130" s="223"/>
      <c r="G130" s="223"/>
      <c r="H130" s="9"/>
      <c r="I130" s="9"/>
      <c r="J130" s="9"/>
      <c r="K130" s="9"/>
      <c r="L130" s="9"/>
      <c r="M130" s="9"/>
      <c r="N130" s="9"/>
      <c r="Z130" s="152"/>
      <c r="AG130" s="303" t="str">
        <f t="shared" si="18"/>
        <v>0T-25</v>
      </c>
      <c r="AH130" s="304">
        <v>127</v>
      </c>
      <c r="AI130" s="304">
        <f>'5チーム2回戦総当たりスケジュール作業表'!$X$13</f>
        <v>0</v>
      </c>
      <c r="AJ130" s="304" t="str">
        <f>'5チーム2回戦総当たりスケジュール作業表'!$X$6</f>
        <v>T-25</v>
      </c>
      <c r="AK130" s="304" t="e">
        <f t="shared" ca="1" si="16"/>
        <v>#N/A</v>
      </c>
      <c r="AL130" s="304" t="e">
        <f t="shared" ca="1" si="17"/>
        <v>#N/A</v>
      </c>
      <c r="AM130" s="307" t="e">
        <f t="shared" ca="1" si="19"/>
        <v>#N/A</v>
      </c>
    </row>
    <row r="131" spans="1:39" ht="18" hidden="1" customHeight="1" x14ac:dyDescent="0.15">
      <c r="A131" s="94"/>
      <c r="B131" s="9"/>
      <c r="C131" s="9"/>
      <c r="D131" s="9"/>
      <c r="E131" s="9"/>
      <c r="F131" s="223"/>
      <c r="G131" s="223"/>
      <c r="H131" s="9"/>
      <c r="I131" s="9"/>
      <c r="J131" s="9"/>
      <c r="K131" s="9"/>
      <c r="L131" s="9"/>
      <c r="M131" s="9"/>
      <c r="N131" s="9"/>
      <c r="Z131" s="152"/>
      <c r="AG131" s="303" t="str">
        <f t="shared" si="18"/>
        <v>0T-25</v>
      </c>
      <c r="AH131" s="304">
        <v>128</v>
      </c>
      <c r="AI131" s="304">
        <f>'5チーム2回戦総当たりスケジュール作業表'!$X$14</f>
        <v>0</v>
      </c>
      <c r="AJ131" s="304" t="str">
        <f>'5チーム2回戦総当たりスケジュール作業表'!$X$6</f>
        <v>T-25</v>
      </c>
      <c r="AK131" s="304" t="e">
        <f t="shared" ca="1" si="16"/>
        <v>#N/A</v>
      </c>
      <c r="AL131" s="304" t="e">
        <f t="shared" ca="1" si="17"/>
        <v>#N/A</v>
      </c>
      <c r="AM131" s="307" t="e">
        <f t="shared" ca="1" si="19"/>
        <v>#N/A</v>
      </c>
    </row>
    <row r="132" spans="1:39" ht="18" hidden="1" customHeight="1" x14ac:dyDescent="0.15">
      <c r="A132" s="94"/>
      <c r="B132" s="9"/>
      <c r="C132" s="9"/>
      <c r="D132" s="9"/>
      <c r="E132" s="9"/>
      <c r="F132" s="223"/>
      <c r="G132" s="223"/>
      <c r="H132" s="9"/>
      <c r="I132" s="9"/>
      <c r="J132" s="9"/>
      <c r="K132" s="9"/>
      <c r="L132" s="9"/>
      <c r="M132" s="9"/>
      <c r="N132" s="9"/>
      <c r="Z132" s="152"/>
      <c r="AG132" s="303" t="str">
        <f t="shared" si="18"/>
        <v>0T-25</v>
      </c>
      <c r="AH132" s="304">
        <v>129</v>
      </c>
      <c r="AI132" s="304">
        <f>'5チーム2回戦総当たりスケジュール作業表'!$X$15</f>
        <v>0</v>
      </c>
      <c r="AJ132" s="304" t="str">
        <f>'5チーム2回戦総当たりスケジュール作業表'!$X$6</f>
        <v>T-25</v>
      </c>
      <c r="AK132" s="304" t="e">
        <f t="shared" ca="1" si="16"/>
        <v>#N/A</v>
      </c>
      <c r="AL132" s="304" t="e">
        <f t="shared" ca="1" si="17"/>
        <v>#N/A</v>
      </c>
      <c r="AM132" s="307" t="e">
        <f t="shared" ca="1" si="19"/>
        <v>#N/A</v>
      </c>
    </row>
    <row r="133" spans="1:39" ht="18" hidden="1" customHeight="1" x14ac:dyDescent="0.15">
      <c r="A133" s="94"/>
      <c r="B133" s="9"/>
      <c r="C133" s="9"/>
      <c r="D133" s="9"/>
      <c r="E133" s="9"/>
      <c r="F133" s="223"/>
      <c r="G133" s="223"/>
      <c r="H133" s="9"/>
      <c r="I133" s="9"/>
      <c r="J133" s="9"/>
      <c r="K133" s="9"/>
      <c r="L133" s="9"/>
      <c r="M133" s="9"/>
      <c r="N133" s="9"/>
      <c r="Z133" s="152"/>
      <c r="AG133" s="303" t="str">
        <f t="shared" si="18"/>
        <v>0T-25</v>
      </c>
      <c r="AH133" s="304">
        <v>130</v>
      </c>
      <c r="AI133" s="304">
        <f>'5チーム2回戦総当たりスケジュール作業表'!$X$16</f>
        <v>0</v>
      </c>
      <c r="AJ133" s="304" t="str">
        <f>'5チーム2回戦総当たりスケジュール作業表'!$X$6</f>
        <v>T-25</v>
      </c>
      <c r="AK133" s="304" t="e">
        <f t="shared" ref="AK133:AK196" ca="1" si="20">IF(VLOOKUP($AH133,$D$4:$J$123,3,0)="","",VLOOKUP($AH133,$D$4:$J$123,3,0))</f>
        <v>#N/A</v>
      </c>
      <c r="AL133" s="304" t="e">
        <f t="shared" ref="AL133:AL196" ca="1" si="21">IF(VLOOKUP($AH133,$D$4:$J$123,5,0)="","",VLOOKUP($AH133,$D$4:$J$123,5,0))</f>
        <v>#N/A</v>
      </c>
      <c r="AM133" s="307" t="e">
        <f t="shared" ca="1" si="19"/>
        <v>#N/A</v>
      </c>
    </row>
    <row r="134" spans="1:39" ht="18" hidden="1" customHeight="1" x14ac:dyDescent="0.15">
      <c r="A134" s="94"/>
      <c r="B134" s="9"/>
      <c r="C134" s="9"/>
      <c r="D134" s="9"/>
      <c r="E134" s="9"/>
      <c r="F134" s="223"/>
      <c r="G134" s="223"/>
      <c r="H134" s="9"/>
      <c r="I134" s="9"/>
      <c r="J134" s="9"/>
      <c r="K134" s="9"/>
      <c r="L134" s="9"/>
      <c r="M134" s="9"/>
      <c r="N134" s="9"/>
      <c r="Z134" s="152"/>
      <c r="AG134" s="303" t="str">
        <f t="shared" si="18"/>
        <v>0T-25</v>
      </c>
      <c r="AH134" s="304">
        <v>131</v>
      </c>
      <c r="AI134" s="304">
        <f>'5チーム2回戦総当たりスケジュール作業表'!$X$17</f>
        <v>0</v>
      </c>
      <c r="AJ134" s="304" t="str">
        <f>'5チーム2回戦総当たりスケジュール作業表'!$X$6</f>
        <v>T-25</v>
      </c>
      <c r="AK134" s="304" t="e">
        <f t="shared" ca="1" si="20"/>
        <v>#N/A</v>
      </c>
      <c r="AL134" s="304" t="e">
        <f t="shared" ca="1" si="21"/>
        <v>#N/A</v>
      </c>
      <c r="AM134" s="307" t="e">
        <f t="shared" ca="1" si="19"/>
        <v>#N/A</v>
      </c>
    </row>
    <row r="135" spans="1:39" ht="18" hidden="1" customHeight="1" x14ac:dyDescent="0.15">
      <c r="A135" s="94"/>
      <c r="B135" s="9"/>
      <c r="C135" s="9"/>
      <c r="D135" s="9"/>
      <c r="E135" s="9"/>
      <c r="F135" s="223"/>
      <c r="G135" s="223"/>
      <c r="H135" s="9"/>
      <c r="I135" s="9"/>
      <c r="J135" s="9"/>
      <c r="K135" s="9"/>
      <c r="L135" s="9"/>
      <c r="M135" s="9"/>
      <c r="N135" s="9"/>
      <c r="Z135" s="152"/>
      <c r="AG135" s="303" t="str">
        <f t="shared" si="18"/>
        <v>0T-25</v>
      </c>
      <c r="AH135" s="304">
        <v>132</v>
      </c>
      <c r="AI135" s="304">
        <f>'5チーム2回戦総当たりスケジュール作業表'!$X$18</f>
        <v>0</v>
      </c>
      <c r="AJ135" s="304" t="str">
        <f>'5チーム2回戦総当たりスケジュール作業表'!$X$6</f>
        <v>T-25</v>
      </c>
      <c r="AK135" s="304" t="e">
        <f t="shared" ca="1" si="20"/>
        <v>#N/A</v>
      </c>
      <c r="AL135" s="304" t="e">
        <f t="shared" ca="1" si="21"/>
        <v>#N/A</v>
      </c>
      <c r="AM135" s="307" t="e">
        <f t="shared" ca="1" si="19"/>
        <v>#N/A</v>
      </c>
    </row>
    <row r="136" spans="1:39" ht="14.25" hidden="1" customHeight="1" x14ac:dyDescent="0.15">
      <c r="S136" s="223"/>
      <c r="T136" s="223"/>
      <c r="AG136" s="303" t="str">
        <f t="shared" si="18"/>
        <v>0T-25</v>
      </c>
      <c r="AH136" s="304">
        <v>133</v>
      </c>
      <c r="AI136" s="304">
        <f>'5チーム2回戦総当たりスケジュール作業表'!$X$19</f>
        <v>0</v>
      </c>
      <c r="AJ136" s="304" t="str">
        <f>'5チーム2回戦総当たりスケジュール作業表'!$X$6</f>
        <v>T-25</v>
      </c>
      <c r="AK136" s="304" t="e">
        <f t="shared" ca="1" si="20"/>
        <v>#N/A</v>
      </c>
      <c r="AL136" s="304" t="e">
        <f t="shared" ca="1" si="21"/>
        <v>#N/A</v>
      </c>
      <c r="AM136" s="307" t="e">
        <f t="shared" ca="1" si="19"/>
        <v>#N/A</v>
      </c>
    </row>
    <row r="137" spans="1:39" ht="14.25" hidden="1" customHeight="1" x14ac:dyDescent="0.15">
      <c r="S137" s="223"/>
      <c r="T137" s="223"/>
      <c r="AG137" s="303" t="str">
        <f t="shared" si="18"/>
        <v>0T-25</v>
      </c>
      <c r="AH137" s="304">
        <v>134</v>
      </c>
      <c r="AI137" s="304">
        <f>'5チーム2回戦総当たりスケジュール作業表'!$X$20</f>
        <v>0</v>
      </c>
      <c r="AJ137" s="304" t="str">
        <f>'5チーム2回戦総当たりスケジュール作業表'!$X$6</f>
        <v>T-25</v>
      </c>
      <c r="AK137" s="304" t="e">
        <f t="shared" ca="1" si="20"/>
        <v>#N/A</v>
      </c>
      <c r="AL137" s="304" t="e">
        <f t="shared" ca="1" si="21"/>
        <v>#N/A</v>
      </c>
      <c r="AM137" s="307" t="e">
        <f t="shared" ca="1" si="19"/>
        <v>#N/A</v>
      </c>
    </row>
    <row r="138" spans="1:39" ht="14.25" hidden="1" customHeight="1" x14ac:dyDescent="0.15">
      <c r="S138" s="223"/>
      <c r="T138" s="223"/>
      <c r="AG138" s="303" t="str">
        <f t="shared" si="18"/>
        <v>0T-25</v>
      </c>
      <c r="AH138" s="304">
        <v>135</v>
      </c>
      <c r="AI138" s="304">
        <f>'5チーム2回戦総当たりスケジュール作業表'!$X$21</f>
        <v>0</v>
      </c>
      <c r="AJ138" s="304" t="str">
        <f>'5チーム2回戦総当たりスケジュール作業表'!$X$6</f>
        <v>T-25</v>
      </c>
      <c r="AK138" s="304" t="e">
        <f t="shared" ca="1" si="20"/>
        <v>#N/A</v>
      </c>
      <c r="AL138" s="304" t="e">
        <f t="shared" ca="1" si="21"/>
        <v>#N/A</v>
      </c>
      <c r="AM138" s="307" t="e">
        <f t="shared" ca="1" si="19"/>
        <v>#N/A</v>
      </c>
    </row>
    <row r="139" spans="1:39" ht="14.25" hidden="1" customHeight="1" x14ac:dyDescent="0.15">
      <c r="S139" s="223"/>
      <c r="T139" s="223"/>
      <c r="AG139" s="303" t="str">
        <f t="shared" si="18"/>
        <v>うなぎEtelia</v>
      </c>
      <c r="AH139" s="304">
        <v>136</v>
      </c>
      <c r="AI139" s="304" t="str">
        <f>'5チーム2回戦総当たりスケジュール作業表'!$X$8</f>
        <v>うなぎ</v>
      </c>
      <c r="AJ139" s="304" t="str">
        <f>'5チーム2回戦総当たりスケジュール作業表'!$X$7</f>
        <v>Etelia</v>
      </c>
      <c r="AK139" s="304">
        <f t="shared" ca="1" si="20"/>
        <v>4</v>
      </c>
      <c r="AL139" s="304">
        <f t="shared" ca="1" si="21"/>
        <v>8</v>
      </c>
      <c r="AM139" s="307">
        <f t="shared" ca="1" si="19"/>
        <v>10</v>
      </c>
    </row>
    <row r="140" spans="1:39" ht="14.25" hidden="1" customHeight="1" x14ac:dyDescent="0.15">
      <c r="S140" s="223"/>
      <c r="T140" s="223"/>
      <c r="AG140" s="303" t="str">
        <f t="shared" si="18"/>
        <v>飛杉田新地Etelia</v>
      </c>
      <c r="AH140" s="304">
        <v>137</v>
      </c>
      <c r="AI140" s="304" t="str">
        <f>'5チーム2回戦総当たりスケジュール作業表'!$X$9</f>
        <v>飛杉田新地</v>
      </c>
      <c r="AJ140" s="304" t="str">
        <f>'5チーム2回戦総当たりスケジュール作業表'!$X$7</f>
        <v>Etelia</v>
      </c>
      <c r="AK140" s="304" t="str">
        <f t="shared" ca="1" si="20"/>
        <v/>
      </c>
      <c r="AL140" s="304" t="str">
        <f t="shared" ca="1" si="21"/>
        <v/>
      </c>
      <c r="AM140" s="307">
        <f t="shared" ca="1" si="19"/>
        <v>8</v>
      </c>
    </row>
    <row r="141" spans="1:39" ht="14.25" hidden="1" customHeight="1" x14ac:dyDescent="0.15">
      <c r="S141" s="223"/>
      <c r="T141" s="223"/>
      <c r="AG141" s="303" t="str">
        <f t="shared" si="18"/>
        <v>PUREEtelia</v>
      </c>
      <c r="AH141" s="304">
        <v>138</v>
      </c>
      <c r="AI141" s="304" t="str">
        <f>'5チーム2回戦総当たりスケジュール作業表'!$X$10</f>
        <v>PURE</v>
      </c>
      <c r="AJ141" s="304" t="str">
        <f>'5チーム2回戦総当たりスケジュール作業表'!$X$7</f>
        <v>Etelia</v>
      </c>
      <c r="AK141" s="304">
        <f t="shared" ca="1" si="20"/>
        <v>4</v>
      </c>
      <c r="AL141" s="304">
        <f t="shared" ca="1" si="21"/>
        <v>6</v>
      </c>
      <c r="AM141" s="307">
        <f t="shared" ca="1" si="19"/>
        <v>9</v>
      </c>
    </row>
    <row r="142" spans="1:39" ht="14.25" hidden="1" customHeight="1" x14ac:dyDescent="0.15">
      <c r="AG142" s="303" t="str">
        <f t="shared" si="18"/>
        <v>0Etelia</v>
      </c>
      <c r="AH142" s="304">
        <v>139</v>
      </c>
      <c r="AI142" s="304">
        <f>'5チーム2回戦総当たりスケジュール作業表'!$X$11</f>
        <v>0</v>
      </c>
      <c r="AJ142" s="304" t="str">
        <f>'5チーム2回戦総当たりスケジュール作業表'!$X$7</f>
        <v>Etelia</v>
      </c>
      <c r="AK142" s="304" t="e">
        <f t="shared" ca="1" si="20"/>
        <v>#N/A</v>
      </c>
      <c r="AL142" s="304" t="e">
        <f t="shared" ca="1" si="21"/>
        <v>#N/A</v>
      </c>
      <c r="AM142" s="307" t="e">
        <f t="shared" ca="1" si="19"/>
        <v>#N/A</v>
      </c>
    </row>
    <row r="143" spans="1:39" ht="14.25" hidden="1" customHeight="1" x14ac:dyDescent="0.15">
      <c r="AG143" s="303" t="str">
        <f t="shared" si="18"/>
        <v>0Etelia</v>
      </c>
      <c r="AH143" s="304">
        <v>140</v>
      </c>
      <c r="AI143" s="304">
        <f>'5チーム2回戦総当たりスケジュール作業表'!$X$12</f>
        <v>0</v>
      </c>
      <c r="AJ143" s="304" t="str">
        <f>'5チーム2回戦総当たりスケジュール作業表'!$X$7</f>
        <v>Etelia</v>
      </c>
      <c r="AK143" s="304" t="e">
        <f t="shared" ca="1" si="20"/>
        <v>#N/A</v>
      </c>
      <c r="AL143" s="304" t="e">
        <f t="shared" ca="1" si="21"/>
        <v>#N/A</v>
      </c>
      <c r="AM143" s="307" t="e">
        <f t="shared" ca="1" si="19"/>
        <v>#N/A</v>
      </c>
    </row>
    <row r="144" spans="1:39" ht="14.25" hidden="1" customHeight="1" x14ac:dyDescent="0.15">
      <c r="AG144" s="303" t="str">
        <f t="shared" si="18"/>
        <v>0Etelia</v>
      </c>
      <c r="AH144" s="304">
        <v>141</v>
      </c>
      <c r="AI144" s="304">
        <f>'5チーム2回戦総当たりスケジュール作業表'!$X$13</f>
        <v>0</v>
      </c>
      <c r="AJ144" s="304" t="str">
        <f>'5チーム2回戦総当たりスケジュール作業表'!$X$7</f>
        <v>Etelia</v>
      </c>
      <c r="AK144" s="304" t="e">
        <f t="shared" ca="1" si="20"/>
        <v>#N/A</v>
      </c>
      <c r="AL144" s="304" t="e">
        <f t="shared" ca="1" si="21"/>
        <v>#N/A</v>
      </c>
      <c r="AM144" s="307" t="e">
        <f t="shared" ca="1" si="19"/>
        <v>#N/A</v>
      </c>
    </row>
    <row r="145" spans="33:39" ht="14.25" hidden="1" customHeight="1" x14ac:dyDescent="0.15">
      <c r="AG145" s="303" t="str">
        <f t="shared" si="18"/>
        <v>0Etelia</v>
      </c>
      <c r="AH145" s="304">
        <v>142</v>
      </c>
      <c r="AI145" s="304">
        <f>'5チーム2回戦総当たりスケジュール作業表'!$X$14</f>
        <v>0</v>
      </c>
      <c r="AJ145" s="304" t="str">
        <f>'5チーム2回戦総当たりスケジュール作業表'!$X$7</f>
        <v>Etelia</v>
      </c>
      <c r="AK145" s="304" t="e">
        <f t="shared" ca="1" si="20"/>
        <v>#N/A</v>
      </c>
      <c r="AL145" s="304" t="e">
        <f t="shared" ca="1" si="21"/>
        <v>#N/A</v>
      </c>
      <c r="AM145" s="307" t="e">
        <f t="shared" ca="1" si="19"/>
        <v>#N/A</v>
      </c>
    </row>
    <row r="146" spans="33:39" ht="14.25" hidden="1" customHeight="1" x14ac:dyDescent="0.15">
      <c r="AG146" s="303" t="str">
        <f t="shared" si="18"/>
        <v>0Etelia</v>
      </c>
      <c r="AH146" s="304">
        <v>143</v>
      </c>
      <c r="AI146" s="304">
        <f>'5チーム2回戦総当たりスケジュール作業表'!$X$15</f>
        <v>0</v>
      </c>
      <c r="AJ146" s="304" t="str">
        <f>'5チーム2回戦総当たりスケジュール作業表'!$X$7</f>
        <v>Etelia</v>
      </c>
      <c r="AK146" s="304" t="e">
        <f t="shared" ca="1" si="20"/>
        <v>#N/A</v>
      </c>
      <c r="AL146" s="304" t="e">
        <f t="shared" ca="1" si="21"/>
        <v>#N/A</v>
      </c>
      <c r="AM146" s="307" t="e">
        <f t="shared" ca="1" si="19"/>
        <v>#N/A</v>
      </c>
    </row>
    <row r="147" spans="33:39" ht="14.25" hidden="1" customHeight="1" x14ac:dyDescent="0.15">
      <c r="AG147" s="303" t="str">
        <f t="shared" si="18"/>
        <v>0Etelia</v>
      </c>
      <c r="AH147" s="304">
        <v>144</v>
      </c>
      <c r="AI147" s="304">
        <f>'5チーム2回戦総当たりスケジュール作業表'!$X$16</f>
        <v>0</v>
      </c>
      <c r="AJ147" s="304" t="str">
        <f>'5チーム2回戦総当たりスケジュール作業表'!$X$7</f>
        <v>Etelia</v>
      </c>
      <c r="AK147" s="304" t="e">
        <f t="shared" ca="1" si="20"/>
        <v>#N/A</v>
      </c>
      <c r="AL147" s="304" t="e">
        <f t="shared" ca="1" si="21"/>
        <v>#N/A</v>
      </c>
      <c r="AM147" s="307" t="e">
        <f t="shared" ca="1" si="19"/>
        <v>#N/A</v>
      </c>
    </row>
    <row r="148" spans="33:39" ht="14.25" hidden="1" customHeight="1" x14ac:dyDescent="0.15">
      <c r="AG148" s="303" t="str">
        <f t="shared" si="18"/>
        <v>0Etelia</v>
      </c>
      <c r="AH148" s="304">
        <v>145</v>
      </c>
      <c r="AI148" s="304">
        <f>'5チーム2回戦総当たりスケジュール作業表'!$X$17</f>
        <v>0</v>
      </c>
      <c r="AJ148" s="304" t="str">
        <f>'5チーム2回戦総当たりスケジュール作業表'!$X$7</f>
        <v>Etelia</v>
      </c>
      <c r="AK148" s="304" t="e">
        <f t="shared" ca="1" si="20"/>
        <v>#N/A</v>
      </c>
      <c r="AL148" s="304" t="e">
        <f t="shared" ca="1" si="21"/>
        <v>#N/A</v>
      </c>
      <c r="AM148" s="307" t="e">
        <f t="shared" ca="1" si="19"/>
        <v>#N/A</v>
      </c>
    </row>
    <row r="149" spans="33:39" ht="14.25" hidden="1" customHeight="1" x14ac:dyDescent="0.15">
      <c r="AG149" s="303" t="str">
        <f t="shared" si="18"/>
        <v>0Etelia</v>
      </c>
      <c r="AH149" s="304">
        <v>146</v>
      </c>
      <c r="AI149" s="304">
        <f>'5チーム2回戦総当たりスケジュール作業表'!$X$18</f>
        <v>0</v>
      </c>
      <c r="AJ149" s="304" t="str">
        <f>'5チーム2回戦総当たりスケジュール作業表'!$X$7</f>
        <v>Etelia</v>
      </c>
      <c r="AK149" s="304" t="e">
        <f t="shared" ca="1" si="20"/>
        <v>#N/A</v>
      </c>
      <c r="AL149" s="304" t="e">
        <f t="shared" ca="1" si="21"/>
        <v>#N/A</v>
      </c>
      <c r="AM149" s="307" t="e">
        <f t="shared" ca="1" si="19"/>
        <v>#N/A</v>
      </c>
    </row>
    <row r="150" spans="33:39" ht="14.25" hidden="1" customHeight="1" x14ac:dyDescent="0.15">
      <c r="AG150" s="303" t="str">
        <f t="shared" si="18"/>
        <v>0Etelia</v>
      </c>
      <c r="AH150" s="304">
        <v>147</v>
      </c>
      <c r="AI150" s="304">
        <f>'5チーム2回戦総当たりスケジュール作業表'!$X$19</f>
        <v>0</v>
      </c>
      <c r="AJ150" s="304" t="str">
        <f>'5チーム2回戦総当たりスケジュール作業表'!$X$7</f>
        <v>Etelia</v>
      </c>
      <c r="AK150" s="304" t="e">
        <f t="shared" ca="1" si="20"/>
        <v>#N/A</v>
      </c>
      <c r="AL150" s="304" t="e">
        <f t="shared" ca="1" si="21"/>
        <v>#N/A</v>
      </c>
      <c r="AM150" s="307" t="e">
        <f t="shared" ca="1" si="19"/>
        <v>#N/A</v>
      </c>
    </row>
    <row r="151" spans="33:39" ht="14.25" hidden="1" customHeight="1" x14ac:dyDescent="0.15">
      <c r="AG151" s="303" t="str">
        <f t="shared" si="18"/>
        <v>0Etelia</v>
      </c>
      <c r="AH151" s="304">
        <v>148</v>
      </c>
      <c r="AI151" s="304">
        <f>'5チーム2回戦総当たりスケジュール作業表'!$X$20</f>
        <v>0</v>
      </c>
      <c r="AJ151" s="304" t="str">
        <f>'5チーム2回戦総当たりスケジュール作業表'!$X$7</f>
        <v>Etelia</v>
      </c>
      <c r="AK151" s="304" t="e">
        <f t="shared" ca="1" si="20"/>
        <v>#N/A</v>
      </c>
      <c r="AL151" s="304" t="e">
        <f t="shared" ca="1" si="21"/>
        <v>#N/A</v>
      </c>
      <c r="AM151" s="307" t="e">
        <f t="shared" ca="1" si="19"/>
        <v>#N/A</v>
      </c>
    </row>
    <row r="152" spans="33:39" ht="14.25" hidden="1" customHeight="1" x14ac:dyDescent="0.15">
      <c r="AG152" s="303" t="str">
        <f t="shared" si="18"/>
        <v>0Etelia</v>
      </c>
      <c r="AH152" s="304">
        <v>149</v>
      </c>
      <c r="AI152" s="304">
        <f>'5チーム2回戦総当たりスケジュール作業表'!$X$21</f>
        <v>0</v>
      </c>
      <c r="AJ152" s="304" t="str">
        <f>'5チーム2回戦総当たりスケジュール作業表'!$X$7</f>
        <v>Etelia</v>
      </c>
      <c r="AK152" s="304" t="e">
        <f t="shared" ca="1" si="20"/>
        <v>#N/A</v>
      </c>
      <c r="AL152" s="304" t="e">
        <f t="shared" ca="1" si="21"/>
        <v>#N/A</v>
      </c>
      <c r="AM152" s="307" t="e">
        <f t="shared" ca="1" si="19"/>
        <v>#N/A</v>
      </c>
    </row>
    <row r="153" spans="33:39" ht="14.25" hidden="1" customHeight="1" x14ac:dyDescent="0.15">
      <c r="AG153" s="303" t="str">
        <f t="shared" si="18"/>
        <v>飛杉田新地うなぎ</v>
      </c>
      <c r="AH153" s="304">
        <v>150</v>
      </c>
      <c r="AI153" s="304" t="str">
        <f>'5チーム2回戦総当たりスケジュール作業表'!$X$9</f>
        <v>飛杉田新地</v>
      </c>
      <c r="AJ153" s="304" t="str">
        <f>'5チーム2回戦総当たりスケジュール作業表'!$X$8</f>
        <v>うなぎ</v>
      </c>
      <c r="AK153" s="304">
        <f t="shared" ca="1" si="20"/>
        <v>4</v>
      </c>
      <c r="AL153" s="304">
        <f t="shared" ca="1" si="21"/>
        <v>10</v>
      </c>
      <c r="AM153" s="307">
        <f t="shared" ca="1" si="19"/>
        <v>6</v>
      </c>
    </row>
    <row r="154" spans="33:39" ht="14.25" hidden="1" customHeight="1" x14ac:dyDescent="0.15">
      <c r="AG154" s="303" t="str">
        <f t="shared" si="18"/>
        <v>PUREうなぎ</v>
      </c>
      <c r="AH154" s="304">
        <v>151</v>
      </c>
      <c r="AI154" s="304" t="str">
        <f>'5チーム2回戦総当たりスケジュール作業表'!$X$10</f>
        <v>PURE</v>
      </c>
      <c r="AJ154" s="304" t="str">
        <f>'5チーム2回戦総当たりスケジュール作業表'!$X$8</f>
        <v>うなぎ</v>
      </c>
      <c r="AK154" s="304">
        <f t="shared" ca="1" si="20"/>
        <v>6</v>
      </c>
      <c r="AL154" s="304">
        <f t="shared" ca="1" si="21"/>
        <v>7</v>
      </c>
      <c r="AM154" s="307">
        <f t="shared" ca="1" si="19"/>
        <v>7</v>
      </c>
    </row>
    <row r="155" spans="33:39" ht="14.25" hidden="1" customHeight="1" x14ac:dyDescent="0.15">
      <c r="AG155" s="303" t="str">
        <f t="shared" si="18"/>
        <v>0うなぎ</v>
      </c>
      <c r="AH155" s="304">
        <v>152</v>
      </c>
      <c r="AI155" s="304">
        <f>'5チーム2回戦総当たりスケジュール作業表'!$X$11</f>
        <v>0</v>
      </c>
      <c r="AJ155" s="304" t="str">
        <f>'5チーム2回戦総当たりスケジュール作業表'!$X$8</f>
        <v>うなぎ</v>
      </c>
      <c r="AK155" s="304" t="e">
        <f t="shared" ca="1" si="20"/>
        <v>#N/A</v>
      </c>
      <c r="AL155" s="304" t="e">
        <f t="shared" ca="1" si="21"/>
        <v>#N/A</v>
      </c>
      <c r="AM155" s="307" t="e">
        <f t="shared" ca="1" si="19"/>
        <v>#N/A</v>
      </c>
    </row>
    <row r="156" spans="33:39" ht="14.25" hidden="1" customHeight="1" x14ac:dyDescent="0.15">
      <c r="AG156" s="303" t="str">
        <f t="shared" si="18"/>
        <v>0うなぎ</v>
      </c>
      <c r="AH156" s="304">
        <v>153</v>
      </c>
      <c r="AI156" s="304">
        <f>'5チーム2回戦総当たりスケジュール作業表'!$X$12</f>
        <v>0</v>
      </c>
      <c r="AJ156" s="304" t="str">
        <f>'5チーム2回戦総当たりスケジュール作業表'!$X$8</f>
        <v>うなぎ</v>
      </c>
      <c r="AK156" s="304" t="e">
        <f t="shared" ca="1" si="20"/>
        <v>#N/A</v>
      </c>
      <c r="AL156" s="304" t="e">
        <f t="shared" ca="1" si="21"/>
        <v>#N/A</v>
      </c>
      <c r="AM156" s="307" t="e">
        <f t="shared" ca="1" si="19"/>
        <v>#N/A</v>
      </c>
    </row>
    <row r="157" spans="33:39" ht="14.25" hidden="1" customHeight="1" x14ac:dyDescent="0.15">
      <c r="AG157" s="303" t="str">
        <f t="shared" si="18"/>
        <v>0うなぎ</v>
      </c>
      <c r="AH157" s="304">
        <v>154</v>
      </c>
      <c r="AI157" s="304">
        <f>'5チーム2回戦総当たりスケジュール作業表'!$X$13</f>
        <v>0</v>
      </c>
      <c r="AJ157" s="304" t="str">
        <f>'5チーム2回戦総当たりスケジュール作業表'!$X$8</f>
        <v>うなぎ</v>
      </c>
      <c r="AK157" s="304" t="e">
        <f t="shared" ca="1" si="20"/>
        <v>#N/A</v>
      </c>
      <c r="AL157" s="304" t="e">
        <f t="shared" ca="1" si="21"/>
        <v>#N/A</v>
      </c>
      <c r="AM157" s="307" t="e">
        <f t="shared" ca="1" si="19"/>
        <v>#N/A</v>
      </c>
    </row>
    <row r="158" spans="33:39" ht="14.25" hidden="1" customHeight="1" x14ac:dyDescent="0.15">
      <c r="AG158" s="303" t="str">
        <f t="shared" si="18"/>
        <v>0うなぎ</v>
      </c>
      <c r="AH158" s="304">
        <v>155</v>
      </c>
      <c r="AI158" s="304">
        <f>'5チーム2回戦総当たりスケジュール作業表'!$X$14</f>
        <v>0</v>
      </c>
      <c r="AJ158" s="304" t="str">
        <f>'5チーム2回戦総当たりスケジュール作業表'!$X$8</f>
        <v>うなぎ</v>
      </c>
      <c r="AK158" s="304" t="e">
        <f t="shared" ca="1" si="20"/>
        <v>#N/A</v>
      </c>
      <c r="AL158" s="304" t="e">
        <f t="shared" ca="1" si="21"/>
        <v>#N/A</v>
      </c>
      <c r="AM158" s="307" t="e">
        <f t="shared" ca="1" si="19"/>
        <v>#N/A</v>
      </c>
    </row>
    <row r="159" spans="33:39" ht="14.25" hidden="1" customHeight="1" x14ac:dyDescent="0.15">
      <c r="AG159" s="303" t="str">
        <f t="shared" si="18"/>
        <v>0うなぎ</v>
      </c>
      <c r="AH159" s="304">
        <v>156</v>
      </c>
      <c r="AI159" s="304">
        <f>'5チーム2回戦総当たりスケジュール作業表'!$X$15</f>
        <v>0</v>
      </c>
      <c r="AJ159" s="304" t="str">
        <f>'5チーム2回戦総当たりスケジュール作業表'!$X$8</f>
        <v>うなぎ</v>
      </c>
      <c r="AK159" s="304" t="e">
        <f t="shared" ca="1" si="20"/>
        <v>#N/A</v>
      </c>
      <c r="AL159" s="304" t="e">
        <f t="shared" ca="1" si="21"/>
        <v>#N/A</v>
      </c>
      <c r="AM159" s="307" t="e">
        <f t="shared" ca="1" si="19"/>
        <v>#N/A</v>
      </c>
    </row>
    <row r="160" spans="33:39" ht="14.25" hidden="1" customHeight="1" x14ac:dyDescent="0.15">
      <c r="AG160" s="303" t="str">
        <f t="shared" si="18"/>
        <v>0うなぎ</v>
      </c>
      <c r="AH160" s="304">
        <v>157</v>
      </c>
      <c r="AI160" s="304">
        <f>'5チーム2回戦総当たりスケジュール作業表'!$X$16</f>
        <v>0</v>
      </c>
      <c r="AJ160" s="304" t="str">
        <f>'5チーム2回戦総当たりスケジュール作業表'!$X$8</f>
        <v>うなぎ</v>
      </c>
      <c r="AK160" s="304" t="e">
        <f t="shared" ca="1" si="20"/>
        <v>#N/A</v>
      </c>
      <c r="AL160" s="304" t="e">
        <f t="shared" ca="1" si="21"/>
        <v>#N/A</v>
      </c>
      <c r="AM160" s="307" t="e">
        <f t="shared" ca="1" si="19"/>
        <v>#N/A</v>
      </c>
    </row>
    <row r="161" spans="33:39" ht="14.25" hidden="1" customHeight="1" x14ac:dyDescent="0.15">
      <c r="AG161" s="303" t="str">
        <f t="shared" si="18"/>
        <v>0うなぎ</v>
      </c>
      <c r="AH161" s="304">
        <v>158</v>
      </c>
      <c r="AI161" s="304">
        <f>'5チーム2回戦総当たりスケジュール作業表'!$X$17</f>
        <v>0</v>
      </c>
      <c r="AJ161" s="304" t="str">
        <f>'5チーム2回戦総当たりスケジュール作業表'!$X$8</f>
        <v>うなぎ</v>
      </c>
      <c r="AK161" s="304" t="e">
        <f t="shared" ca="1" si="20"/>
        <v>#N/A</v>
      </c>
      <c r="AL161" s="304" t="e">
        <f t="shared" ca="1" si="21"/>
        <v>#N/A</v>
      </c>
      <c r="AM161" s="307" t="e">
        <f t="shared" ca="1" si="19"/>
        <v>#N/A</v>
      </c>
    </row>
    <row r="162" spans="33:39" ht="14.25" hidden="1" customHeight="1" x14ac:dyDescent="0.15">
      <c r="AG162" s="303" t="str">
        <f t="shared" si="18"/>
        <v>0うなぎ</v>
      </c>
      <c r="AH162" s="304">
        <v>159</v>
      </c>
      <c r="AI162" s="304">
        <f>'5チーム2回戦総当たりスケジュール作業表'!$X$18</f>
        <v>0</v>
      </c>
      <c r="AJ162" s="304" t="str">
        <f>'5チーム2回戦総当たりスケジュール作業表'!$X$8</f>
        <v>うなぎ</v>
      </c>
      <c r="AK162" s="304" t="e">
        <f t="shared" ca="1" si="20"/>
        <v>#N/A</v>
      </c>
      <c r="AL162" s="304" t="e">
        <f t="shared" ca="1" si="21"/>
        <v>#N/A</v>
      </c>
      <c r="AM162" s="307" t="e">
        <f t="shared" ca="1" si="19"/>
        <v>#N/A</v>
      </c>
    </row>
    <row r="163" spans="33:39" ht="14.25" hidden="1" customHeight="1" x14ac:dyDescent="0.15">
      <c r="AG163" s="303" t="str">
        <f t="shared" si="18"/>
        <v>0うなぎ</v>
      </c>
      <c r="AH163" s="304">
        <v>160</v>
      </c>
      <c r="AI163" s="304">
        <f>'5チーム2回戦総当たりスケジュール作業表'!$X$19</f>
        <v>0</v>
      </c>
      <c r="AJ163" s="304" t="str">
        <f>'5チーム2回戦総当たりスケジュール作業表'!$X$8</f>
        <v>うなぎ</v>
      </c>
      <c r="AK163" s="304" t="e">
        <f t="shared" ca="1" si="20"/>
        <v>#N/A</v>
      </c>
      <c r="AL163" s="304" t="e">
        <f t="shared" ca="1" si="21"/>
        <v>#N/A</v>
      </c>
      <c r="AM163" s="307" t="e">
        <f t="shared" ca="1" si="19"/>
        <v>#N/A</v>
      </c>
    </row>
    <row r="164" spans="33:39" ht="14.25" hidden="1" customHeight="1" x14ac:dyDescent="0.15">
      <c r="AG164" s="303" t="str">
        <f t="shared" ref="AG164:AG227" si="22">AI164&amp;AJ164</f>
        <v>0うなぎ</v>
      </c>
      <c r="AH164" s="304">
        <v>161</v>
      </c>
      <c r="AI164" s="304">
        <f>'5チーム2回戦総当たりスケジュール作業表'!$X$20</f>
        <v>0</v>
      </c>
      <c r="AJ164" s="304" t="str">
        <f>'5チーム2回戦総当たりスケジュール作業表'!$X$8</f>
        <v>うなぎ</v>
      </c>
      <c r="AK164" s="304" t="e">
        <f t="shared" ca="1" si="20"/>
        <v>#N/A</v>
      </c>
      <c r="AL164" s="304" t="e">
        <f t="shared" ca="1" si="21"/>
        <v>#N/A</v>
      </c>
      <c r="AM164" s="307" t="e">
        <f t="shared" ref="AM164:AM227" ca="1" si="23">VLOOKUP(AH164,$D$4:$M$123,10,0)</f>
        <v>#N/A</v>
      </c>
    </row>
    <row r="165" spans="33:39" ht="14.25" hidden="1" customHeight="1" x14ac:dyDescent="0.15">
      <c r="AG165" s="303" t="str">
        <f t="shared" si="22"/>
        <v>0うなぎ</v>
      </c>
      <c r="AH165" s="304">
        <v>162</v>
      </c>
      <c r="AI165" s="304">
        <f>'5チーム2回戦総当たりスケジュール作業表'!$X$21</f>
        <v>0</v>
      </c>
      <c r="AJ165" s="304" t="str">
        <f>'5チーム2回戦総当たりスケジュール作業表'!$X$8</f>
        <v>うなぎ</v>
      </c>
      <c r="AK165" s="304" t="e">
        <f t="shared" ca="1" si="20"/>
        <v>#N/A</v>
      </c>
      <c r="AL165" s="304" t="e">
        <f t="shared" ca="1" si="21"/>
        <v>#N/A</v>
      </c>
      <c r="AM165" s="307" t="e">
        <f t="shared" ca="1" si="23"/>
        <v>#N/A</v>
      </c>
    </row>
    <row r="166" spans="33:39" ht="14.25" hidden="1" customHeight="1" x14ac:dyDescent="0.15">
      <c r="AG166" s="303" t="str">
        <f t="shared" si="22"/>
        <v>PURE飛杉田新地</v>
      </c>
      <c r="AH166" s="304">
        <v>163</v>
      </c>
      <c r="AI166" s="304" t="str">
        <f>'5チーム2回戦総当たりスケジュール作業表'!$X$10</f>
        <v>PURE</v>
      </c>
      <c r="AJ166" s="304" t="str">
        <f>'5チーム2回戦総当たりスケジュール作業表'!$X$9</f>
        <v>飛杉田新地</v>
      </c>
      <c r="AK166" s="304">
        <f t="shared" ca="1" si="20"/>
        <v>15</v>
      </c>
      <c r="AL166" s="304">
        <f t="shared" ca="1" si="21"/>
        <v>2</v>
      </c>
      <c r="AM166" s="307">
        <f t="shared" ca="1" si="23"/>
        <v>10</v>
      </c>
    </row>
    <row r="167" spans="33:39" ht="14.25" hidden="1" customHeight="1" x14ac:dyDescent="0.15">
      <c r="AG167" s="303" t="str">
        <f t="shared" si="22"/>
        <v>0飛杉田新地</v>
      </c>
      <c r="AH167" s="304">
        <v>164</v>
      </c>
      <c r="AI167" s="304">
        <f>'5チーム2回戦総当たりスケジュール作業表'!$X$11</f>
        <v>0</v>
      </c>
      <c r="AJ167" s="304" t="str">
        <f>'5チーム2回戦総当たりスケジュール作業表'!$X$9</f>
        <v>飛杉田新地</v>
      </c>
      <c r="AK167" s="304" t="e">
        <f t="shared" ca="1" si="20"/>
        <v>#N/A</v>
      </c>
      <c r="AL167" s="304" t="e">
        <f t="shared" ca="1" si="21"/>
        <v>#N/A</v>
      </c>
      <c r="AM167" s="307" t="e">
        <f t="shared" ca="1" si="23"/>
        <v>#N/A</v>
      </c>
    </row>
    <row r="168" spans="33:39" ht="14.25" hidden="1" customHeight="1" x14ac:dyDescent="0.15">
      <c r="AG168" s="303" t="str">
        <f t="shared" si="22"/>
        <v>0飛杉田新地</v>
      </c>
      <c r="AH168" s="304">
        <v>165</v>
      </c>
      <c r="AI168" s="304">
        <f>'5チーム2回戦総当たりスケジュール作業表'!$X$12</f>
        <v>0</v>
      </c>
      <c r="AJ168" s="304" t="str">
        <f>'5チーム2回戦総当たりスケジュール作業表'!$X$9</f>
        <v>飛杉田新地</v>
      </c>
      <c r="AK168" s="304" t="e">
        <f t="shared" ca="1" si="20"/>
        <v>#N/A</v>
      </c>
      <c r="AL168" s="304" t="e">
        <f t="shared" ca="1" si="21"/>
        <v>#N/A</v>
      </c>
      <c r="AM168" s="307" t="e">
        <f t="shared" ca="1" si="23"/>
        <v>#N/A</v>
      </c>
    </row>
    <row r="169" spans="33:39" ht="14.25" hidden="1" customHeight="1" x14ac:dyDescent="0.15">
      <c r="AG169" s="303" t="str">
        <f t="shared" si="22"/>
        <v>0飛杉田新地</v>
      </c>
      <c r="AH169" s="304">
        <v>166</v>
      </c>
      <c r="AI169" s="304">
        <f>'5チーム2回戦総当たりスケジュール作業表'!$X$13</f>
        <v>0</v>
      </c>
      <c r="AJ169" s="304" t="str">
        <f>'5チーム2回戦総当たりスケジュール作業表'!$X$9</f>
        <v>飛杉田新地</v>
      </c>
      <c r="AK169" s="304" t="e">
        <f t="shared" ca="1" si="20"/>
        <v>#N/A</v>
      </c>
      <c r="AL169" s="304" t="e">
        <f t="shared" ca="1" si="21"/>
        <v>#N/A</v>
      </c>
      <c r="AM169" s="307" t="e">
        <f t="shared" ca="1" si="23"/>
        <v>#N/A</v>
      </c>
    </row>
    <row r="170" spans="33:39" ht="14.25" hidden="1" customHeight="1" x14ac:dyDescent="0.15">
      <c r="AG170" s="303" t="str">
        <f t="shared" si="22"/>
        <v>0飛杉田新地</v>
      </c>
      <c r="AH170" s="304">
        <v>167</v>
      </c>
      <c r="AI170" s="304">
        <f>'5チーム2回戦総当たりスケジュール作業表'!$X$14</f>
        <v>0</v>
      </c>
      <c r="AJ170" s="304" t="str">
        <f>'5チーム2回戦総当たりスケジュール作業表'!$X$9</f>
        <v>飛杉田新地</v>
      </c>
      <c r="AK170" s="304" t="e">
        <f t="shared" ca="1" si="20"/>
        <v>#N/A</v>
      </c>
      <c r="AL170" s="304" t="e">
        <f t="shared" ca="1" si="21"/>
        <v>#N/A</v>
      </c>
      <c r="AM170" s="307" t="e">
        <f t="shared" ca="1" si="23"/>
        <v>#N/A</v>
      </c>
    </row>
    <row r="171" spans="33:39" ht="14.25" hidden="1" customHeight="1" x14ac:dyDescent="0.15">
      <c r="AG171" s="303" t="str">
        <f t="shared" si="22"/>
        <v>0飛杉田新地</v>
      </c>
      <c r="AH171" s="304">
        <v>168</v>
      </c>
      <c r="AI171" s="304">
        <f>'5チーム2回戦総当たりスケジュール作業表'!$X$15</f>
        <v>0</v>
      </c>
      <c r="AJ171" s="304" t="str">
        <f>'5チーム2回戦総当たりスケジュール作業表'!$X$9</f>
        <v>飛杉田新地</v>
      </c>
      <c r="AK171" s="304" t="e">
        <f t="shared" ca="1" si="20"/>
        <v>#N/A</v>
      </c>
      <c r="AL171" s="304" t="e">
        <f t="shared" ca="1" si="21"/>
        <v>#N/A</v>
      </c>
      <c r="AM171" s="307" t="e">
        <f t="shared" ca="1" si="23"/>
        <v>#N/A</v>
      </c>
    </row>
    <row r="172" spans="33:39" ht="14.25" hidden="1" customHeight="1" x14ac:dyDescent="0.15">
      <c r="AG172" s="303" t="str">
        <f t="shared" si="22"/>
        <v>0飛杉田新地</v>
      </c>
      <c r="AH172" s="304">
        <v>169</v>
      </c>
      <c r="AI172" s="304">
        <f>'5チーム2回戦総当たりスケジュール作業表'!$X$16</f>
        <v>0</v>
      </c>
      <c r="AJ172" s="304" t="str">
        <f>'5チーム2回戦総当たりスケジュール作業表'!$X$9</f>
        <v>飛杉田新地</v>
      </c>
      <c r="AK172" s="304" t="e">
        <f t="shared" ca="1" si="20"/>
        <v>#N/A</v>
      </c>
      <c r="AL172" s="304" t="e">
        <f t="shared" ca="1" si="21"/>
        <v>#N/A</v>
      </c>
      <c r="AM172" s="307" t="e">
        <f t="shared" ca="1" si="23"/>
        <v>#N/A</v>
      </c>
    </row>
    <row r="173" spans="33:39" ht="14.25" hidden="1" customHeight="1" x14ac:dyDescent="0.15">
      <c r="AG173" s="303" t="str">
        <f t="shared" si="22"/>
        <v>0飛杉田新地</v>
      </c>
      <c r="AH173" s="304">
        <v>170</v>
      </c>
      <c r="AI173" s="304">
        <f>'5チーム2回戦総当たりスケジュール作業表'!$X$17</f>
        <v>0</v>
      </c>
      <c r="AJ173" s="304" t="str">
        <f>'5チーム2回戦総当たりスケジュール作業表'!$X$9</f>
        <v>飛杉田新地</v>
      </c>
      <c r="AK173" s="304" t="e">
        <f t="shared" ca="1" si="20"/>
        <v>#N/A</v>
      </c>
      <c r="AL173" s="304" t="e">
        <f t="shared" ca="1" si="21"/>
        <v>#N/A</v>
      </c>
      <c r="AM173" s="307" t="e">
        <f t="shared" ca="1" si="23"/>
        <v>#N/A</v>
      </c>
    </row>
    <row r="174" spans="33:39" ht="14.25" hidden="1" customHeight="1" x14ac:dyDescent="0.15">
      <c r="AG174" s="303" t="str">
        <f t="shared" si="22"/>
        <v>0飛杉田新地</v>
      </c>
      <c r="AH174" s="304">
        <v>171</v>
      </c>
      <c r="AI174" s="304">
        <f>'5チーム2回戦総当たりスケジュール作業表'!$X$18</f>
        <v>0</v>
      </c>
      <c r="AJ174" s="304" t="str">
        <f>'5チーム2回戦総当たりスケジュール作業表'!$X$9</f>
        <v>飛杉田新地</v>
      </c>
      <c r="AK174" s="304" t="e">
        <f t="shared" ca="1" si="20"/>
        <v>#N/A</v>
      </c>
      <c r="AL174" s="304" t="e">
        <f t="shared" ca="1" si="21"/>
        <v>#N/A</v>
      </c>
      <c r="AM174" s="307" t="e">
        <f t="shared" ca="1" si="23"/>
        <v>#N/A</v>
      </c>
    </row>
    <row r="175" spans="33:39" ht="14.25" hidden="1" customHeight="1" x14ac:dyDescent="0.15">
      <c r="AG175" s="303" t="str">
        <f t="shared" si="22"/>
        <v>0飛杉田新地</v>
      </c>
      <c r="AH175" s="304">
        <v>172</v>
      </c>
      <c r="AI175" s="304">
        <f>'5チーム2回戦総当たりスケジュール作業表'!$X$19</f>
        <v>0</v>
      </c>
      <c r="AJ175" s="304" t="str">
        <f>'5チーム2回戦総当たりスケジュール作業表'!$X$9</f>
        <v>飛杉田新地</v>
      </c>
      <c r="AK175" s="304" t="e">
        <f t="shared" ca="1" si="20"/>
        <v>#N/A</v>
      </c>
      <c r="AL175" s="304" t="e">
        <f t="shared" ca="1" si="21"/>
        <v>#N/A</v>
      </c>
      <c r="AM175" s="307" t="e">
        <f t="shared" ca="1" si="23"/>
        <v>#N/A</v>
      </c>
    </row>
    <row r="176" spans="33:39" ht="14.25" hidden="1" customHeight="1" x14ac:dyDescent="0.15">
      <c r="AG176" s="303" t="str">
        <f t="shared" si="22"/>
        <v>0飛杉田新地</v>
      </c>
      <c r="AH176" s="304">
        <v>173</v>
      </c>
      <c r="AI176" s="304">
        <f>'5チーム2回戦総当たりスケジュール作業表'!$X$20</f>
        <v>0</v>
      </c>
      <c r="AJ176" s="304" t="str">
        <f>'5チーム2回戦総当たりスケジュール作業表'!$X$9</f>
        <v>飛杉田新地</v>
      </c>
      <c r="AK176" s="304" t="e">
        <f t="shared" ca="1" si="20"/>
        <v>#N/A</v>
      </c>
      <c r="AL176" s="304" t="e">
        <f t="shared" ca="1" si="21"/>
        <v>#N/A</v>
      </c>
      <c r="AM176" s="307" t="e">
        <f t="shared" ca="1" si="23"/>
        <v>#N/A</v>
      </c>
    </row>
    <row r="177" spans="33:39" ht="14.25" hidden="1" customHeight="1" x14ac:dyDescent="0.15">
      <c r="AG177" s="303" t="str">
        <f t="shared" si="22"/>
        <v>0飛杉田新地</v>
      </c>
      <c r="AH177" s="304">
        <v>174</v>
      </c>
      <c r="AI177" s="304">
        <f>'5チーム2回戦総当たりスケジュール作業表'!$X$21</f>
        <v>0</v>
      </c>
      <c r="AJ177" s="304" t="str">
        <f>'5チーム2回戦総当たりスケジュール作業表'!$X$9</f>
        <v>飛杉田新地</v>
      </c>
      <c r="AK177" s="304" t="e">
        <f t="shared" ca="1" si="20"/>
        <v>#N/A</v>
      </c>
      <c r="AL177" s="304" t="e">
        <f t="shared" ca="1" si="21"/>
        <v>#N/A</v>
      </c>
      <c r="AM177" s="307" t="e">
        <f t="shared" ca="1" si="23"/>
        <v>#N/A</v>
      </c>
    </row>
    <row r="178" spans="33:39" ht="14.25" hidden="1" customHeight="1" x14ac:dyDescent="0.15">
      <c r="AG178" s="303" t="str">
        <f t="shared" si="22"/>
        <v>0PURE</v>
      </c>
      <c r="AH178" s="304">
        <v>175</v>
      </c>
      <c r="AI178" s="304">
        <f>'5チーム2回戦総当たりスケジュール作業表'!$X$11</f>
        <v>0</v>
      </c>
      <c r="AJ178" s="304" t="str">
        <f>'5チーム2回戦総当たりスケジュール作業表'!$X$10</f>
        <v>PURE</v>
      </c>
      <c r="AK178" s="304" t="e">
        <f t="shared" ca="1" si="20"/>
        <v>#N/A</v>
      </c>
      <c r="AL178" s="304" t="e">
        <f t="shared" ca="1" si="21"/>
        <v>#N/A</v>
      </c>
      <c r="AM178" s="307" t="e">
        <f t="shared" ca="1" si="23"/>
        <v>#N/A</v>
      </c>
    </row>
    <row r="179" spans="33:39" ht="14.25" hidden="1" customHeight="1" x14ac:dyDescent="0.15">
      <c r="AG179" s="303" t="str">
        <f t="shared" si="22"/>
        <v>0PURE</v>
      </c>
      <c r="AH179" s="304">
        <v>176</v>
      </c>
      <c r="AI179" s="304">
        <f>'5チーム2回戦総当たりスケジュール作業表'!$X$12</f>
        <v>0</v>
      </c>
      <c r="AJ179" s="304" t="str">
        <f>'5チーム2回戦総当たりスケジュール作業表'!$X$10</f>
        <v>PURE</v>
      </c>
      <c r="AK179" s="304" t="e">
        <f t="shared" ca="1" si="20"/>
        <v>#N/A</v>
      </c>
      <c r="AL179" s="304" t="e">
        <f t="shared" ca="1" si="21"/>
        <v>#N/A</v>
      </c>
      <c r="AM179" s="307" t="e">
        <f t="shared" ca="1" si="23"/>
        <v>#N/A</v>
      </c>
    </row>
    <row r="180" spans="33:39" ht="14.25" hidden="1" customHeight="1" x14ac:dyDescent="0.15">
      <c r="AG180" s="303" t="str">
        <f t="shared" si="22"/>
        <v>0PURE</v>
      </c>
      <c r="AH180" s="304">
        <v>177</v>
      </c>
      <c r="AI180" s="304">
        <f>'5チーム2回戦総当たりスケジュール作業表'!$X$13</f>
        <v>0</v>
      </c>
      <c r="AJ180" s="304" t="str">
        <f>'5チーム2回戦総当たりスケジュール作業表'!$X$10</f>
        <v>PURE</v>
      </c>
      <c r="AK180" s="304" t="e">
        <f t="shared" ca="1" si="20"/>
        <v>#N/A</v>
      </c>
      <c r="AL180" s="304" t="e">
        <f t="shared" ca="1" si="21"/>
        <v>#N/A</v>
      </c>
      <c r="AM180" s="307" t="e">
        <f t="shared" ca="1" si="23"/>
        <v>#N/A</v>
      </c>
    </row>
    <row r="181" spans="33:39" ht="14.25" hidden="1" customHeight="1" x14ac:dyDescent="0.15">
      <c r="AG181" s="303" t="str">
        <f t="shared" si="22"/>
        <v>0PURE</v>
      </c>
      <c r="AH181" s="304">
        <v>178</v>
      </c>
      <c r="AI181" s="304">
        <f>'5チーム2回戦総当たりスケジュール作業表'!$X$14</f>
        <v>0</v>
      </c>
      <c r="AJ181" s="304" t="str">
        <f>'5チーム2回戦総当たりスケジュール作業表'!$X$10</f>
        <v>PURE</v>
      </c>
      <c r="AK181" s="304" t="e">
        <f t="shared" ca="1" si="20"/>
        <v>#N/A</v>
      </c>
      <c r="AL181" s="304" t="e">
        <f t="shared" ca="1" si="21"/>
        <v>#N/A</v>
      </c>
      <c r="AM181" s="307" t="e">
        <f t="shared" ca="1" si="23"/>
        <v>#N/A</v>
      </c>
    </row>
    <row r="182" spans="33:39" ht="14.25" hidden="1" customHeight="1" x14ac:dyDescent="0.15">
      <c r="AG182" s="303" t="str">
        <f t="shared" si="22"/>
        <v>0PURE</v>
      </c>
      <c r="AH182" s="304">
        <v>179</v>
      </c>
      <c r="AI182" s="304">
        <f>'5チーム2回戦総当たりスケジュール作業表'!$X$15</f>
        <v>0</v>
      </c>
      <c r="AJ182" s="304" t="str">
        <f>'5チーム2回戦総当たりスケジュール作業表'!$X$10</f>
        <v>PURE</v>
      </c>
      <c r="AK182" s="304" t="e">
        <f t="shared" ca="1" si="20"/>
        <v>#N/A</v>
      </c>
      <c r="AL182" s="304" t="e">
        <f t="shared" ca="1" si="21"/>
        <v>#N/A</v>
      </c>
      <c r="AM182" s="307" t="e">
        <f t="shared" ca="1" si="23"/>
        <v>#N/A</v>
      </c>
    </row>
    <row r="183" spans="33:39" ht="14.25" hidden="1" customHeight="1" x14ac:dyDescent="0.15">
      <c r="AG183" s="303" t="str">
        <f t="shared" si="22"/>
        <v>0PURE</v>
      </c>
      <c r="AH183" s="304">
        <v>180</v>
      </c>
      <c r="AI183" s="304">
        <f>'5チーム2回戦総当たりスケジュール作業表'!$X$16</f>
        <v>0</v>
      </c>
      <c r="AJ183" s="304" t="str">
        <f>'5チーム2回戦総当たりスケジュール作業表'!$X$10</f>
        <v>PURE</v>
      </c>
      <c r="AK183" s="304" t="e">
        <f t="shared" ca="1" si="20"/>
        <v>#N/A</v>
      </c>
      <c r="AL183" s="304" t="e">
        <f t="shared" ca="1" si="21"/>
        <v>#N/A</v>
      </c>
      <c r="AM183" s="307" t="e">
        <f t="shared" ca="1" si="23"/>
        <v>#N/A</v>
      </c>
    </row>
    <row r="184" spans="33:39" ht="14.25" hidden="1" customHeight="1" x14ac:dyDescent="0.15">
      <c r="AG184" s="303" t="str">
        <f t="shared" si="22"/>
        <v>0PURE</v>
      </c>
      <c r="AH184" s="304">
        <v>181</v>
      </c>
      <c r="AI184" s="304">
        <f>'5チーム2回戦総当たりスケジュール作業表'!$X$17</f>
        <v>0</v>
      </c>
      <c r="AJ184" s="304" t="str">
        <f>'5チーム2回戦総当たりスケジュール作業表'!$X$10</f>
        <v>PURE</v>
      </c>
      <c r="AK184" s="304" t="e">
        <f t="shared" ca="1" si="20"/>
        <v>#N/A</v>
      </c>
      <c r="AL184" s="304" t="e">
        <f t="shared" ca="1" si="21"/>
        <v>#N/A</v>
      </c>
      <c r="AM184" s="307" t="e">
        <f t="shared" ca="1" si="23"/>
        <v>#N/A</v>
      </c>
    </row>
    <row r="185" spans="33:39" ht="14.25" hidden="1" customHeight="1" x14ac:dyDescent="0.15">
      <c r="AG185" s="303" t="str">
        <f t="shared" si="22"/>
        <v>0PURE</v>
      </c>
      <c r="AH185" s="304">
        <v>182</v>
      </c>
      <c r="AI185" s="304">
        <f>'5チーム2回戦総当たりスケジュール作業表'!$X$18</f>
        <v>0</v>
      </c>
      <c r="AJ185" s="304" t="str">
        <f>'5チーム2回戦総当たりスケジュール作業表'!$X$10</f>
        <v>PURE</v>
      </c>
      <c r="AK185" s="304" t="e">
        <f t="shared" ca="1" si="20"/>
        <v>#N/A</v>
      </c>
      <c r="AL185" s="304" t="e">
        <f t="shared" ca="1" si="21"/>
        <v>#N/A</v>
      </c>
      <c r="AM185" s="307" t="e">
        <f t="shared" ca="1" si="23"/>
        <v>#N/A</v>
      </c>
    </row>
    <row r="186" spans="33:39" ht="14.25" hidden="1" customHeight="1" x14ac:dyDescent="0.15">
      <c r="AG186" s="303" t="str">
        <f t="shared" si="22"/>
        <v>0PURE</v>
      </c>
      <c r="AH186" s="304">
        <v>183</v>
      </c>
      <c r="AI186" s="304">
        <f>'5チーム2回戦総当たりスケジュール作業表'!$X$19</f>
        <v>0</v>
      </c>
      <c r="AJ186" s="304" t="str">
        <f>'5チーム2回戦総当たりスケジュール作業表'!$X$10</f>
        <v>PURE</v>
      </c>
      <c r="AK186" s="304" t="e">
        <f t="shared" ca="1" si="20"/>
        <v>#N/A</v>
      </c>
      <c r="AL186" s="304" t="e">
        <f t="shared" ca="1" si="21"/>
        <v>#N/A</v>
      </c>
      <c r="AM186" s="307" t="e">
        <f t="shared" ca="1" si="23"/>
        <v>#N/A</v>
      </c>
    </row>
    <row r="187" spans="33:39" ht="14.25" hidden="1" customHeight="1" x14ac:dyDescent="0.15">
      <c r="AG187" s="303" t="str">
        <f t="shared" si="22"/>
        <v>0PURE</v>
      </c>
      <c r="AH187" s="304">
        <v>184</v>
      </c>
      <c r="AI187" s="304">
        <f>'5チーム2回戦総当たりスケジュール作業表'!$X$20</f>
        <v>0</v>
      </c>
      <c r="AJ187" s="304" t="str">
        <f>'5チーム2回戦総当たりスケジュール作業表'!$X$10</f>
        <v>PURE</v>
      </c>
      <c r="AK187" s="304" t="e">
        <f t="shared" ca="1" si="20"/>
        <v>#N/A</v>
      </c>
      <c r="AL187" s="304" t="e">
        <f t="shared" ca="1" si="21"/>
        <v>#N/A</v>
      </c>
      <c r="AM187" s="307" t="e">
        <f t="shared" ca="1" si="23"/>
        <v>#N/A</v>
      </c>
    </row>
    <row r="188" spans="33:39" ht="14.25" hidden="1" customHeight="1" x14ac:dyDescent="0.15">
      <c r="AG188" s="303" t="str">
        <f t="shared" si="22"/>
        <v>0PURE</v>
      </c>
      <c r="AH188" s="304">
        <v>185</v>
      </c>
      <c r="AI188" s="304">
        <f>'5チーム2回戦総当たりスケジュール作業表'!$X$21</f>
        <v>0</v>
      </c>
      <c r="AJ188" s="304" t="str">
        <f>'5チーム2回戦総当たりスケジュール作業表'!$X$10</f>
        <v>PURE</v>
      </c>
      <c r="AK188" s="304" t="e">
        <f t="shared" ca="1" si="20"/>
        <v>#N/A</v>
      </c>
      <c r="AL188" s="304" t="e">
        <f t="shared" ca="1" si="21"/>
        <v>#N/A</v>
      </c>
      <c r="AM188" s="307" t="e">
        <f t="shared" ca="1" si="23"/>
        <v>#N/A</v>
      </c>
    </row>
    <row r="189" spans="33:39" ht="14.25" hidden="1" customHeight="1" x14ac:dyDescent="0.15">
      <c r="AG189" s="303" t="str">
        <f t="shared" si="22"/>
        <v>00</v>
      </c>
      <c r="AH189" s="304">
        <v>186</v>
      </c>
      <c r="AI189" s="304">
        <f>'5チーム2回戦総当たりスケジュール作業表'!$X$12</f>
        <v>0</v>
      </c>
      <c r="AJ189" s="304">
        <f>'5チーム2回戦総当たりスケジュール作業表'!$X$11</f>
        <v>0</v>
      </c>
      <c r="AK189" s="304" t="e">
        <f t="shared" ca="1" si="20"/>
        <v>#N/A</v>
      </c>
      <c r="AL189" s="304" t="e">
        <f t="shared" ca="1" si="21"/>
        <v>#N/A</v>
      </c>
      <c r="AM189" s="307" t="e">
        <f t="shared" ca="1" si="23"/>
        <v>#N/A</v>
      </c>
    </row>
    <row r="190" spans="33:39" ht="14.25" hidden="1" customHeight="1" x14ac:dyDescent="0.15">
      <c r="AG190" s="303" t="str">
        <f t="shared" si="22"/>
        <v>00</v>
      </c>
      <c r="AH190" s="304">
        <v>187</v>
      </c>
      <c r="AI190" s="304">
        <f>'5チーム2回戦総当たりスケジュール作業表'!$X$13</f>
        <v>0</v>
      </c>
      <c r="AJ190" s="304">
        <f>'5チーム2回戦総当たりスケジュール作業表'!$X$11</f>
        <v>0</v>
      </c>
      <c r="AK190" s="304" t="e">
        <f t="shared" ca="1" si="20"/>
        <v>#N/A</v>
      </c>
      <c r="AL190" s="304" t="e">
        <f t="shared" ca="1" si="21"/>
        <v>#N/A</v>
      </c>
      <c r="AM190" s="307" t="e">
        <f t="shared" ca="1" si="23"/>
        <v>#N/A</v>
      </c>
    </row>
    <row r="191" spans="33:39" ht="14.25" hidden="1" customHeight="1" x14ac:dyDescent="0.15">
      <c r="AG191" s="303" t="str">
        <f t="shared" si="22"/>
        <v>00</v>
      </c>
      <c r="AH191" s="304">
        <v>188</v>
      </c>
      <c r="AI191" s="304">
        <f>'5チーム2回戦総当たりスケジュール作業表'!$X$14</f>
        <v>0</v>
      </c>
      <c r="AJ191" s="304">
        <f>'5チーム2回戦総当たりスケジュール作業表'!$X$11</f>
        <v>0</v>
      </c>
      <c r="AK191" s="304" t="e">
        <f t="shared" ca="1" si="20"/>
        <v>#N/A</v>
      </c>
      <c r="AL191" s="304" t="e">
        <f t="shared" ca="1" si="21"/>
        <v>#N/A</v>
      </c>
      <c r="AM191" s="307" t="e">
        <f t="shared" ca="1" si="23"/>
        <v>#N/A</v>
      </c>
    </row>
    <row r="192" spans="33:39" ht="14.25" hidden="1" customHeight="1" x14ac:dyDescent="0.15">
      <c r="AG192" s="303" t="str">
        <f t="shared" si="22"/>
        <v>00</v>
      </c>
      <c r="AH192" s="304">
        <v>189</v>
      </c>
      <c r="AI192" s="304">
        <f>'5チーム2回戦総当たりスケジュール作業表'!$X$15</f>
        <v>0</v>
      </c>
      <c r="AJ192" s="304">
        <f>'5チーム2回戦総当たりスケジュール作業表'!$X$11</f>
        <v>0</v>
      </c>
      <c r="AK192" s="304" t="e">
        <f t="shared" ca="1" si="20"/>
        <v>#N/A</v>
      </c>
      <c r="AL192" s="304" t="e">
        <f t="shared" ca="1" si="21"/>
        <v>#N/A</v>
      </c>
      <c r="AM192" s="307" t="e">
        <f t="shared" ca="1" si="23"/>
        <v>#N/A</v>
      </c>
    </row>
    <row r="193" spans="12:39" ht="14.25" hidden="1" customHeight="1" x14ac:dyDescent="0.15">
      <c r="AG193" s="303" t="str">
        <f t="shared" si="22"/>
        <v>00</v>
      </c>
      <c r="AH193" s="304">
        <v>190</v>
      </c>
      <c r="AI193" s="304">
        <f>'5チーム2回戦総当たりスケジュール作業表'!$X$16</f>
        <v>0</v>
      </c>
      <c r="AJ193" s="304">
        <f>'5チーム2回戦総当たりスケジュール作業表'!$X$11</f>
        <v>0</v>
      </c>
      <c r="AK193" s="304" t="e">
        <f t="shared" ca="1" si="20"/>
        <v>#N/A</v>
      </c>
      <c r="AL193" s="304" t="e">
        <f t="shared" ca="1" si="21"/>
        <v>#N/A</v>
      </c>
      <c r="AM193" s="307" t="e">
        <f t="shared" ca="1" si="23"/>
        <v>#N/A</v>
      </c>
    </row>
    <row r="194" spans="12:39" ht="14.25" hidden="1" customHeight="1" x14ac:dyDescent="0.15">
      <c r="AG194" s="303" t="str">
        <f t="shared" si="22"/>
        <v>00</v>
      </c>
      <c r="AH194" s="304">
        <v>191</v>
      </c>
      <c r="AI194" s="304">
        <f>'5チーム2回戦総当たりスケジュール作業表'!$X$17</f>
        <v>0</v>
      </c>
      <c r="AJ194" s="304">
        <f>'5チーム2回戦総当たりスケジュール作業表'!$X$11</f>
        <v>0</v>
      </c>
      <c r="AK194" s="304" t="e">
        <f t="shared" ca="1" si="20"/>
        <v>#N/A</v>
      </c>
      <c r="AL194" s="304" t="e">
        <f t="shared" ca="1" si="21"/>
        <v>#N/A</v>
      </c>
      <c r="AM194" s="307" t="e">
        <f t="shared" ca="1" si="23"/>
        <v>#N/A</v>
      </c>
    </row>
    <row r="195" spans="12:39" ht="14.25" hidden="1" customHeight="1" x14ac:dyDescent="0.15">
      <c r="AG195" s="303" t="str">
        <f t="shared" si="22"/>
        <v>00</v>
      </c>
      <c r="AH195" s="304">
        <v>192</v>
      </c>
      <c r="AI195" s="304">
        <f>'5チーム2回戦総当たりスケジュール作業表'!$X$18</f>
        <v>0</v>
      </c>
      <c r="AJ195" s="304">
        <f>'5チーム2回戦総当たりスケジュール作業表'!$X$11</f>
        <v>0</v>
      </c>
      <c r="AK195" s="304" t="e">
        <f t="shared" ca="1" si="20"/>
        <v>#N/A</v>
      </c>
      <c r="AL195" s="304" t="e">
        <f t="shared" ca="1" si="21"/>
        <v>#N/A</v>
      </c>
      <c r="AM195" s="307" t="e">
        <f t="shared" ca="1" si="23"/>
        <v>#N/A</v>
      </c>
    </row>
    <row r="196" spans="12:39" ht="14.25" hidden="1" customHeight="1" x14ac:dyDescent="0.15">
      <c r="AG196" s="303" t="str">
        <f t="shared" si="22"/>
        <v>00</v>
      </c>
      <c r="AH196" s="304">
        <v>193</v>
      </c>
      <c r="AI196" s="304">
        <f>'5チーム2回戦総当たりスケジュール作業表'!$X$19</f>
        <v>0</v>
      </c>
      <c r="AJ196" s="304">
        <f>'5チーム2回戦総当たりスケジュール作業表'!$X$11</f>
        <v>0</v>
      </c>
      <c r="AK196" s="304" t="e">
        <f t="shared" ca="1" si="20"/>
        <v>#N/A</v>
      </c>
      <c r="AL196" s="304" t="e">
        <f t="shared" ca="1" si="21"/>
        <v>#N/A</v>
      </c>
      <c r="AM196" s="307" t="e">
        <f t="shared" ca="1" si="23"/>
        <v>#N/A</v>
      </c>
    </row>
    <row r="197" spans="12:39" ht="14.25" hidden="1" customHeight="1" x14ac:dyDescent="0.15">
      <c r="AG197" s="303" t="str">
        <f t="shared" si="22"/>
        <v>00</v>
      </c>
      <c r="AH197" s="304">
        <v>194</v>
      </c>
      <c r="AI197" s="304">
        <f>'5チーム2回戦総当たりスケジュール作業表'!$X$20</f>
        <v>0</v>
      </c>
      <c r="AJ197" s="304">
        <f>'5チーム2回戦総当たりスケジュール作業表'!$X$11</f>
        <v>0</v>
      </c>
      <c r="AK197" s="304" t="e">
        <f t="shared" ref="AK197:AK243" ca="1" si="24">IF(VLOOKUP($AH197,$D$4:$J$123,3,0)="","",VLOOKUP($AH197,$D$4:$J$123,3,0))</f>
        <v>#N/A</v>
      </c>
      <c r="AL197" s="304" t="e">
        <f t="shared" ref="AL197:AL243" ca="1" si="25">IF(VLOOKUP($AH197,$D$4:$J$123,5,0)="","",VLOOKUP($AH197,$D$4:$J$123,5,0))</f>
        <v>#N/A</v>
      </c>
      <c r="AM197" s="307" t="e">
        <f t="shared" ca="1" si="23"/>
        <v>#N/A</v>
      </c>
    </row>
    <row r="198" spans="12:39" ht="14.25" hidden="1" customHeight="1" x14ac:dyDescent="0.15">
      <c r="AG198" s="303" t="str">
        <f t="shared" si="22"/>
        <v>00</v>
      </c>
      <c r="AH198" s="304">
        <v>195</v>
      </c>
      <c r="AI198" s="304">
        <f>'5チーム2回戦総当たりスケジュール作業表'!$X$21</f>
        <v>0</v>
      </c>
      <c r="AJ198" s="304">
        <f>'5チーム2回戦総当たりスケジュール作業表'!$X$11</f>
        <v>0</v>
      </c>
      <c r="AK198" s="304" t="e">
        <f t="shared" ca="1" si="24"/>
        <v>#N/A</v>
      </c>
      <c r="AL198" s="304" t="e">
        <f t="shared" ca="1" si="25"/>
        <v>#N/A</v>
      </c>
      <c r="AM198" s="307" t="e">
        <f t="shared" ca="1" si="23"/>
        <v>#N/A</v>
      </c>
    </row>
    <row r="199" spans="12:39" ht="14.25" hidden="1" customHeight="1" x14ac:dyDescent="0.15">
      <c r="AG199" s="303" t="str">
        <f t="shared" si="22"/>
        <v>00</v>
      </c>
      <c r="AH199" s="304">
        <v>196</v>
      </c>
      <c r="AI199" s="304">
        <f>'5チーム2回戦総当たりスケジュール作業表'!$X$13</f>
        <v>0</v>
      </c>
      <c r="AJ199" s="304">
        <f>'5チーム2回戦総当たりスケジュール作業表'!$X$12</f>
        <v>0</v>
      </c>
      <c r="AK199" s="304" t="e">
        <f t="shared" ca="1" si="24"/>
        <v>#N/A</v>
      </c>
      <c r="AL199" s="304" t="e">
        <f t="shared" ca="1" si="25"/>
        <v>#N/A</v>
      </c>
      <c r="AM199" s="307" t="e">
        <f t="shared" ca="1" si="23"/>
        <v>#N/A</v>
      </c>
    </row>
    <row r="200" spans="12:39" ht="14.25" hidden="1" customHeight="1" x14ac:dyDescent="0.15">
      <c r="AG200" s="303" t="str">
        <f t="shared" si="22"/>
        <v>00</v>
      </c>
      <c r="AH200" s="304">
        <v>197</v>
      </c>
      <c r="AI200" s="304">
        <f>'5チーム2回戦総当たりスケジュール作業表'!$X$14</f>
        <v>0</v>
      </c>
      <c r="AJ200" s="304">
        <f>'5チーム2回戦総当たりスケジュール作業表'!$X$12</f>
        <v>0</v>
      </c>
      <c r="AK200" s="304" t="e">
        <f t="shared" ca="1" si="24"/>
        <v>#N/A</v>
      </c>
      <c r="AL200" s="304" t="e">
        <f t="shared" ca="1" si="25"/>
        <v>#N/A</v>
      </c>
      <c r="AM200" s="307" t="e">
        <f t="shared" ca="1" si="23"/>
        <v>#N/A</v>
      </c>
    </row>
    <row r="201" spans="12:39" ht="14.25" hidden="1" customHeight="1" x14ac:dyDescent="0.15">
      <c r="AG201" s="303" t="str">
        <f t="shared" si="22"/>
        <v>00</v>
      </c>
      <c r="AH201" s="304">
        <v>198</v>
      </c>
      <c r="AI201" s="304">
        <f>'5チーム2回戦総当たりスケジュール作業表'!$X$15</f>
        <v>0</v>
      </c>
      <c r="AJ201" s="304">
        <f>'5チーム2回戦総当たりスケジュール作業表'!$X$12</f>
        <v>0</v>
      </c>
      <c r="AK201" s="304" t="e">
        <f t="shared" ca="1" si="24"/>
        <v>#N/A</v>
      </c>
      <c r="AL201" s="304" t="e">
        <f t="shared" ca="1" si="25"/>
        <v>#N/A</v>
      </c>
      <c r="AM201" s="307" t="e">
        <f t="shared" ca="1" si="23"/>
        <v>#N/A</v>
      </c>
    </row>
    <row r="202" spans="12:39" ht="14.25" hidden="1" customHeight="1" x14ac:dyDescent="0.15">
      <c r="AG202" s="303" t="str">
        <f t="shared" si="22"/>
        <v>00</v>
      </c>
      <c r="AH202" s="304">
        <v>199</v>
      </c>
      <c r="AI202" s="304">
        <f>'5チーム2回戦総当たりスケジュール作業表'!$X$16</f>
        <v>0</v>
      </c>
      <c r="AJ202" s="304">
        <f>'5チーム2回戦総当たりスケジュール作業表'!$X$12</f>
        <v>0</v>
      </c>
      <c r="AK202" s="304" t="e">
        <f t="shared" ca="1" si="24"/>
        <v>#N/A</v>
      </c>
      <c r="AL202" s="304" t="e">
        <f t="shared" ca="1" si="25"/>
        <v>#N/A</v>
      </c>
      <c r="AM202" s="307" t="e">
        <f t="shared" ca="1" si="23"/>
        <v>#N/A</v>
      </c>
    </row>
    <row r="203" spans="12:39" ht="14.25" hidden="1" customHeight="1" x14ac:dyDescent="0.15">
      <c r="AG203" s="303" t="str">
        <f t="shared" si="22"/>
        <v>00</v>
      </c>
      <c r="AH203" s="304">
        <v>200</v>
      </c>
      <c r="AI203" s="304">
        <f>'5チーム2回戦総当たりスケジュール作業表'!$X$17</f>
        <v>0</v>
      </c>
      <c r="AJ203" s="304">
        <f>'5チーム2回戦総当たりスケジュール作業表'!$X$12</f>
        <v>0</v>
      </c>
      <c r="AK203" s="304" t="e">
        <f t="shared" ca="1" si="24"/>
        <v>#N/A</v>
      </c>
      <c r="AL203" s="304" t="e">
        <f t="shared" ca="1" si="25"/>
        <v>#N/A</v>
      </c>
      <c r="AM203" s="307" t="e">
        <f t="shared" ca="1" si="23"/>
        <v>#N/A</v>
      </c>
    </row>
    <row r="204" spans="12:39" ht="14.25" hidden="1" customHeight="1" x14ac:dyDescent="0.15">
      <c r="AG204" s="303" t="str">
        <f t="shared" si="22"/>
        <v>00</v>
      </c>
      <c r="AH204" s="304">
        <v>201</v>
      </c>
      <c r="AI204" s="304">
        <f>'5チーム2回戦総当たりスケジュール作業表'!$X$18</f>
        <v>0</v>
      </c>
      <c r="AJ204" s="304">
        <f>'5チーム2回戦総当たりスケジュール作業表'!$X$12</f>
        <v>0</v>
      </c>
      <c r="AK204" s="304" t="e">
        <f t="shared" ca="1" si="24"/>
        <v>#N/A</v>
      </c>
      <c r="AL204" s="304" t="e">
        <f t="shared" ca="1" si="25"/>
        <v>#N/A</v>
      </c>
      <c r="AM204" s="307" t="e">
        <f t="shared" ca="1" si="23"/>
        <v>#N/A</v>
      </c>
    </row>
    <row r="205" spans="12:39" ht="14.25" hidden="1" customHeight="1" x14ac:dyDescent="0.15">
      <c r="AG205" s="303" t="str">
        <f t="shared" si="22"/>
        <v>00</v>
      </c>
      <c r="AH205" s="304">
        <v>202</v>
      </c>
      <c r="AI205" s="304">
        <f>'5チーム2回戦総当たりスケジュール作業表'!$X$19</f>
        <v>0</v>
      </c>
      <c r="AJ205" s="304">
        <f>'5チーム2回戦総当たりスケジュール作業表'!$X$12</f>
        <v>0</v>
      </c>
      <c r="AK205" s="304" t="e">
        <f t="shared" ca="1" si="24"/>
        <v>#N/A</v>
      </c>
      <c r="AL205" s="304" t="e">
        <f t="shared" ca="1" si="25"/>
        <v>#N/A</v>
      </c>
      <c r="AM205" s="307" t="e">
        <f t="shared" ca="1" si="23"/>
        <v>#N/A</v>
      </c>
    </row>
    <row r="206" spans="12:39" ht="14.25" hidden="1" customHeight="1" x14ac:dyDescent="0.15">
      <c r="AG206" s="303" t="str">
        <f t="shared" si="22"/>
        <v>00</v>
      </c>
      <c r="AH206" s="304">
        <v>203</v>
      </c>
      <c r="AI206" s="304">
        <f>'5チーム2回戦総当たりスケジュール作業表'!$X$20</f>
        <v>0</v>
      </c>
      <c r="AJ206" s="304">
        <f>'5チーム2回戦総当たりスケジュール作業表'!$X$12</f>
        <v>0</v>
      </c>
      <c r="AK206" s="304" t="e">
        <f t="shared" ca="1" si="24"/>
        <v>#N/A</v>
      </c>
      <c r="AL206" s="304" t="e">
        <f t="shared" ca="1" si="25"/>
        <v>#N/A</v>
      </c>
      <c r="AM206" s="307" t="e">
        <f t="shared" ca="1" si="23"/>
        <v>#N/A</v>
      </c>
    </row>
    <row r="207" spans="12:39" ht="14.25" hidden="1" customHeight="1" x14ac:dyDescent="0.15">
      <c r="AG207" s="303" t="str">
        <f t="shared" si="22"/>
        <v>00</v>
      </c>
      <c r="AH207" s="304">
        <v>204</v>
      </c>
      <c r="AI207" s="304">
        <f>'5チーム2回戦総当たりスケジュール作業表'!$X$21</f>
        <v>0</v>
      </c>
      <c r="AJ207" s="304">
        <f>'5チーム2回戦総当たりスケジュール作業表'!$X$12</f>
        <v>0</v>
      </c>
      <c r="AK207" s="304" t="e">
        <f t="shared" ca="1" si="24"/>
        <v>#N/A</v>
      </c>
      <c r="AL207" s="304" t="e">
        <f t="shared" ca="1" si="25"/>
        <v>#N/A</v>
      </c>
      <c r="AM207" s="307" t="e">
        <f t="shared" ca="1" si="23"/>
        <v>#N/A</v>
      </c>
    </row>
    <row r="208" spans="12:39" ht="14.25" hidden="1" customHeight="1" x14ac:dyDescent="0.15">
      <c r="L208" s="13"/>
      <c r="AG208" s="303" t="str">
        <f t="shared" si="22"/>
        <v>00</v>
      </c>
      <c r="AH208" s="304">
        <v>205</v>
      </c>
      <c r="AI208" s="304">
        <f>'5チーム2回戦総当たりスケジュール作業表'!$X$14</f>
        <v>0</v>
      </c>
      <c r="AJ208" s="304">
        <f>'5チーム2回戦総当たりスケジュール作業表'!$X$13</f>
        <v>0</v>
      </c>
      <c r="AK208" s="304" t="e">
        <f t="shared" ca="1" si="24"/>
        <v>#N/A</v>
      </c>
      <c r="AL208" s="304" t="e">
        <f t="shared" ca="1" si="25"/>
        <v>#N/A</v>
      </c>
      <c r="AM208" s="307" t="e">
        <f t="shared" ca="1" si="23"/>
        <v>#N/A</v>
      </c>
    </row>
    <row r="209" spans="12:39" ht="14.25" hidden="1" customHeight="1" x14ac:dyDescent="0.15">
      <c r="L209" s="13"/>
      <c r="AG209" s="303" t="str">
        <f t="shared" si="22"/>
        <v>00</v>
      </c>
      <c r="AH209" s="304">
        <v>206</v>
      </c>
      <c r="AI209" s="304">
        <f>'5チーム2回戦総当たりスケジュール作業表'!$X$15</f>
        <v>0</v>
      </c>
      <c r="AJ209" s="304">
        <f>'5チーム2回戦総当たりスケジュール作業表'!$X$13</f>
        <v>0</v>
      </c>
      <c r="AK209" s="304" t="e">
        <f t="shared" ca="1" si="24"/>
        <v>#N/A</v>
      </c>
      <c r="AL209" s="304" t="e">
        <f t="shared" ca="1" si="25"/>
        <v>#N/A</v>
      </c>
      <c r="AM209" s="307" t="e">
        <f t="shared" ca="1" si="23"/>
        <v>#N/A</v>
      </c>
    </row>
    <row r="210" spans="12:39" ht="14.25" hidden="1" customHeight="1" x14ac:dyDescent="0.15">
      <c r="L210" s="13"/>
      <c r="AG210" s="303" t="str">
        <f t="shared" si="22"/>
        <v>00</v>
      </c>
      <c r="AH210" s="304">
        <v>207</v>
      </c>
      <c r="AI210" s="304">
        <f>'5チーム2回戦総当たりスケジュール作業表'!$X$16</f>
        <v>0</v>
      </c>
      <c r="AJ210" s="304">
        <f>'5チーム2回戦総当たりスケジュール作業表'!$X$13</f>
        <v>0</v>
      </c>
      <c r="AK210" s="304" t="e">
        <f t="shared" ca="1" si="24"/>
        <v>#N/A</v>
      </c>
      <c r="AL210" s="304" t="e">
        <f t="shared" ca="1" si="25"/>
        <v>#N/A</v>
      </c>
      <c r="AM210" s="307" t="e">
        <f t="shared" ca="1" si="23"/>
        <v>#N/A</v>
      </c>
    </row>
    <row r="211" spans="12:39" ht="14.25" hidden="1" customHeight="1" x14ac:dyDescent="0.15">
      <c r="L211" s="13"/>
      <c r="AG211" s="303" t="str">
        <f t="shared" si="22"/>
        <v>00</v>
      </c>
      <c r="AH211" s="304">
        <v>208</v>
      </c>
      <c r="AI211" s="304">
        <f>'5チーム2回戦総当たりスケジュール作業表'!$X$17</f>
        <v>0</v>
      </c>
      <c r="AJ211" s="304">
        <f>'5チーム2回戦総当たりスケジュール作業表'!$X$13</f>
        <v>0</v>
      </c>
      <c r="AK211" s="304" t="e">
        <f t="shared" ca="1" si="24"/>
        <v>#N/A</v>
      </c>
      <c r="AL211" s="304" t="e">
        <f t="shared" ca="1" si="25"/>
        <v>#N/A</v>
      </c>
      <c r="AM211" s="307" t="e">
        <f t="shared" ca="1" si="23"/>
        <v>#N/A</v>
      </c>
    </row>
    <row r="212" spans="12:39" ht="14.25" hidden="1" customHeight="1" x14ac:dyDescent="0.15">
      <c r="AG212" s="303" t="str">
        <f t="shared" si="22"/>
        <v>00</v>
      </c>
      <c r="AH212" s="304">
        <v>209</v>
      </c>
      <c r="AI212" s="304">
        <f>'5チーム2回戦総当たりスケジュール作業表'!$X$18</f>
        <v>0</v>
      </c>
      <c r="AJ212" s="304">
        <f>'5チーム2回戦総当たりスケジュール作業表'!$X$13</f>
        <v>0</v>
      </c>
      <c r="AK212" s="304" t="e">
        <f t="shared" ca="1" si="24"/>
        <v>#N/A</v>
      </c>
      <c r="AL212" s="304" t="e">
        <f t="shared" ca="1" si="25"/>
        <v>#N/A</v>
      </c>
      <c r="AM212" s="307" t="e">
        <f t="shared" ca="1" si="23"/>
        <v>#N/A</v>
      </c>
    </row>
    <row r="213" spans="12:39" ht="14.25" hidden="1" customHeight="1" x14ac:dyDescent="0.15">
      <c r="AG213" s="303" t="str">
        <f t="shared" si="22"/>
        <v>00</v>
      </c>
      <c r="AH213" s="304">
        <v>210</v>
      </c>
      <c r="AI213" s="304">
        <f>'5チーム2回戦総当たりスケジュール作業表'!$X$19</f>
        <v>0</v>
      </c>
      <c r="AJ213" s="304">
        <f>'5チーム2回戦総当たりスケジュール作業表'!$X$13</f>
        <v>0</v>
      </c>
      <c r="AK213" s="304" t="e">
        <f t="shared" ca="1" si="24"/>
        <v>#N/A</v>
      </c>
      <c r="AL213" s="304" t="e">
        <f t="shared" ca="1" si="25"/>
        <v>#N/A</v>
      </c>
      <c r="AM213" s="307" t="e">
        <f t="shared" ca="1" si="23"/>
        <v>#N/A</v>
      </c>
    </row>
    <row r="214" spans="12:39" ht="14.25" hidden="1" customHeight="1" x14ac:dyDescent="0.15">
      <c r="AG214" s="303" t="str">
        <f t="shared" si="22"/>
        <v>00</v>
      </c>
      <c r="AH214" s="304">
        <v>211</v>
      </c>
      <c r="AI214" s="304">
        <f>'5チーム2回戦総当たりスケジュール作業表'!$X$20</f>
        <v>0</v>
      </c>
      <c r="AJ214" s="304">
        <f>'5チーム2回戦総当たりスケジュール作業表'!$X$13</f>
        <v>0</v>
      </c>
      <c r="AK214" s="304" t="e">
        <f t="shared" ca="1" si="24"/>
        <v>#N/A</v>
      </c>
      <c r="AL214" s="304" t="e">
        <f t="shared" ca="1" si="25"/>
        <v>#N/A</v>
      </c>
      <c r="AM214" s="307" t="e">
        <f t="shared" ca="1" si="23"/>
        <v>#N/A</v>
      </c>
    </row>
    <row r="215" spans="12:39" ht="14.25" hidden="1" customHeight="1" x14ac:dyDescent="0.15">
      <c r="AG215" s="303" t="str">
        <f t="shared" si="22"/>
        <v>00</v>
      </c>
      <c r="AH215" s="304">
        <v>212</v>
      </c>
      <c r="AI215" s="304">
        <f>'5チーム2回戦総当たりスケジュール作業表'!$X$21</f>
        <v>0</v>
      </c>
      <c r="AJ215" s="304">
        <f>'5チーム2回戦総当たりスケジュール作業表'!$X$13</f>
        <v>0</v>
      </c>
      <c r="AK215" s="304" t="e">
        <f t="shared" ca="1" si="24"/>
        <v>#N/A</v>
      </c>
      <c r="AL215" s="304" t="e">
        <f t="shared" ca="1" si="25"/>
        <v>#N/A</v>
      </c>
      <c r="AM215" s="307" t="e">
        <f t="shared" ca="1" si="23"/>
        <v>#N/A</v>
      </c>
    </row>
    <row r="216" spans="12:39" ht="14.25" hidden="1" customHeight="1" x14ac:dyDescent="0.15">
      <c r="AG216" s="303" t="str">
        <f t="shared" si="22"/>
        <v>00</v>
      </c>
      <c r="AH216" s="304">
        <v>213</v>
      </c>
      <c r="AI216" s="304">
        <f>'5チーム2回戦総当たりスケジュール作業表'!$X$15</f>
        <v>0</v>
      </c>
      <c r="AJ216" s="304">
        <f>'5チーム2回戦総当たりスケジュール作業表'!$X$14</f>
        <v>0</v>
      </c>
      <c r="AK216" s="304" t="e">
        <f t="shared" ca="1" si="24"/>
        <v>#N/A</v>
      </c>
      <c r="AL216" s="304" t="e">
        <f t="shared" ca="1" si="25"/>
        <v>#N/A</v>
      </c>
      <c r="AM216" s="307" t="e">
        <f t="shared" ca="1" si="23"/>
        <v>#N/A</v>
      </c>
    </row>
    <row r="217" spans="12:39" ht="14.25" hidden="1" customHeight="1" x14ac:dyDescent="0.15">
      <c r="AG217" s="303" t="str">
        <f t="shared" si="22"/>
        <v>00</v>
      </c>
      <c r="AH217" s="304">
        <v>214</v>
      </c>
      <c r="AI217" s="304">
        <f>'5チーム2回戦総当たりスケジュール作業表'!$X$16</f>
        <v>0</v>
      </c>
      <c r="AJ217" s="304">
        <f>'5チーム2回戦総当たりスケジュール作業表'!$X$14</f>
        <v>0</v>
      </c>
      <c r="AK217" s="304" t="e">
        <f t="shared" ca="1" si="24"/>
        <v>#N/A</v>
      </c>
      <c r="AL217" s="304" t="e">
        <f t="shared" ca="1" si="25"/>
        <v>#N/A</v>
      </c>
      <c r="AM217" s="307" t="e">
        <f t="shared" ca="1" si="23"/>
        <v>#N/A</v>
      </c>
    </row>
    <row r="218" spans="12:39" ht="14.25" hidden="1" customHeight="1" x14ac:dyDescent="0.15">
      <c r="AG218" s="303" t="str">
        <f t="shared" si="22"/>
        <v>00</v>
      </c>
      <c r="AH218" s="304">
        <v>215</v>
      </c>
      <c r="AI218" s="304">
        <f>'5チーム2回戦総当たりスケジュール作業表'!$X$17</f>
        <v>0</v>
      </c>
      <c r="AJ218" s="304">
        <f>'5チーム2回戦総当たりスケジュール作業表'!$X$14</f>
        <v>0</v>
      </c>
      <c r="AK218" s="304" t="e">
        <f t="shared" ca="1" si="24"/>
        <v>#N/A</v>
      </c>
      <c r="AL218" s="304" t="e">
        <f t="shared" ca="1" si="25"/>
        <v>#N/A</v>
      </c>
      <c r="AM218" s="307" t="e">
        <f t="shared" ca="1" si="23"/>
        <v>#N/A</v>
      </c>
    </row>
    <row r="219" spans="12:39" ht="14.25" hidden="1" customHeight="1" x14ac:dyDescent="0.15">
      <c r="AG219" s="303" t="str">
        <f t="shared" si="22"/>
        <v>00</v>
      </c>
      <c r="AH219" s="304">
        <v>216</v>
      </c>
      <c r="AI219" s="304">
        <f>'5チーム2回戦総当たりスケジュール作業表'!$X$18</f>
        <v>0</v>
      </c>
      <c r="AJ219" s="304">
        <f>'5チーム2回戦総当たりスケジュール作業表'!$X$14</f>
        <v>0</v>
      </c>
      <c r="AK219" s="304" t="e">
        <f t="shared" ca="1" si="24"/>
        <v>#N/A</v>
      </c>
      <c r="AL219" s="304" t="e">
        <f t="shared" ca="1" si="25"/>
        <v>#N/A</v>
      </c>
      <c r="AM219" s="307" t="e">
        <f t="shared" ca="1" si="23"/>
        <v>#N/A</v>
      </c>
    </row>
    <row r="220" spans="12:39" ht="14.25" hidden="1" customHeight="1" x14ac:dyDescent="0.15">
      <c r="AG220" s="303" t="str">
        <f t="shared" si="22"/>
        <v>00</v>
      </c>
      <c r="AH220" s="304">
        <v>217</v>
      </c>
      <c r="AI220" s="304">
        <f>'5チーム2回戦総当たりスケジュール作業表'!$X$19</f>
        <v>0</v>
      </c>
      <c r="AJ220" s="304">
        <f>'5チーム2回戦総当たりスケジュール作業表'!$X$14</f>
        <v>0</v>
      </c>
      <c r="AK220" s="304" t="e">
        <f t="shared" ca="1" si="24"/>
        <v>#N/A</v>
      </c>
      <c r="AL220" s="304" t="e">
        <f t="shared" ca="1" si="25"/>
        <v>#N/A</v>
      </c>
      <c r="AM220" s="307" t="e">
        <f t="shared" ca="1" si="23"/>
        <v>#N/A</v>
      </c>
    </row>
    <row r="221" spans="12:39" ht="14.25" hidden="1" customHeight="1" x14ac:dyDescent="0.15">
      <c r="AG221" s="303" t="str">
        <f t="shared" si="22"/>
        <v>00</v>
      </c>
      <c r="AH221" s="304">
        <v>218</v>
      </c>
      <c r="AI221" s="304">
        <f>'5チーム2回戦総当たりスケジュール作業表'!$X$20</f>
        <v>0</v>
      </c>
      <c r="AJ221" s="304">
        <f>'5チーム2回戦総当たりスケジュール作業表'!$X$14</f>
        <v>0</v>
      </c>
      <c r="AK221" s="304" t="e">
        <f t="shared" ca="1" si="24"/>
        <v>#N/A</v>
      </c>
      <c r="AL221" s="304" t="e">
        <f t="shared" ca="1" si="25"/>
        <v>#N/A</v>
      </c>
      <c r="AM221" s="307" t="e">
        <f t="shared" ca="1" si="23"/>
        <v>#N/A</v>
      </c>
    </row>
    <row r="222" spans="12:39" ht="14.25" hidden="1" customHeight="1" x14ac:dyDescent="0.15">
      <c r="AG222" s="303" t="str">
        <f t="shared" si="22"/>
        <v>00</v>
      </c>
      <c r="AH222" s="304">
        <v>219</v>
      </c>
      <c r="AI222" s="304">
        <f>'5チーム2回戦総当たりスケジュール作業表'!$X$21</f>
        <v>0</v>
      </c>
      <c r="AJ222" s="304">
        <f>'5チーム2回戦総当たりスケジュール作業表'!$X$14</f>
        <v>0</v>
      </c>
      <c r="AK222" s="304" t="e">
        <f t="shared" ca="1" si="24"/>
        <v>#N/A</v>
      </c>
      <c r="AL222" s="304" t="e">
        <f t="shared" ca="1" si="25"/>
        <v>#N/A</v>
      </c>
      <c r="AM222" s="307" t="e">
        <f t="shared" ca="1" si="23"/>
        <v>#N/A</v>
      </c>
    </row>
    <row r="223" spans="12:39" ht="14.25" hidden="1" customHeight="1" x14ac:dyDescent="0.15">
      <c r="AG223" s="303" t="str">
        <f t="shared" si="22"/>
        <v>00</v>
      </c>
      <c r="AH223" s="304">
        <v>220</v>
      </c>
      <c r="AI223" s="304">
        <f>'5チーム2回戦総当たりスケジュール作業表'!$X$16</f>
        <v>0</v>
      </c>
      <c r="AJ223" s="304">
        <f>'5チーム2回戦総当たりスケジュール作業表'!$X$15</f>
        <v>0</v>
      </c>
      <c r="AK223" s="304" t="e">
        <f t="shared" ca="1" si="24"/>
        <v>#N/A</v>
      </c>
      <c r="AL223" s="304" t="e">
        <f t="shared" ca="1" si="25"/>
        <v>#N/A</v>
      </c>
      <c r="AM223" s="307" t="e">
        <f t="shared" ca="1" si="23"/>
        <v>#N/A</v>
      </c>
    </row>
    <row r="224" spans="12:39" ht="14.25" hidden="1" customHeight="1" x14ac:dyDescent="0.15">
      <c r="AG224" s="303" t="str">
        <f t="shared" si="22"/>
        <v>00</v>
      </c>
      <c r="AH224" s="304">
        <v>221</v>
      </c>
      <c r="AI224" s="304">
        <f>'5チーム2回戦総当たりスケジュール作業表'!$X$17</f>
        <v>0</v>
      </c>
      <c r="AJ224" s="304">
        <f>'5チーム2回戦総当たりスケジュール作業表'!$X$15</f>
        <v>0</v>
      </c>
      <c r="AK224" s="304" t="e">
        <f t="shared" ca="1" si="24"/>
        <v>#N/A</v>
      </c>
      <c r="AL224" s="304" t="e">
        <f t="shared" ca="1" si="25"/>
        <v>#N/A</v>
      </c>
      <c r="AM224" s="307" t="e">
        <f t="shared" ca="1" si="23"/>
        <v>#N/A</v>
      </c>
    </row>
    <row r="225" spans="33:39" ht="14.25" hidden="1" customHeight="1" x14ac:dyDescent="0.15">
      <c r="AG225" s="303" t="str">
        <f t="shared" si="22"/>
        <v>00</v>
      </c>
      <c r="AH225" s="304">
        <v>222</v>
      </c>
      <c r="AI225" s="304">
        <f>'5チーム2回戦総当たりスケジュール作業表'!$X$18</f>
        <v>0</v>
      </c>
      <c r="AJ225" s="304">
        <f>'5チーム2回戦総当たりスケジュール作業表'!$X$15</f>
        <v>0</v>
      </c>
      <c r="AK225" s="304" t="e">
        <f t="shared" ca="1" si="24"/>
        <v>#N/A</v>
      </c>
      <c r="AL225" s="304" t="e">
        <f t="shared" ca="1" si="25"/>
        <v>#N/A</v>
      </c>
      <c r="AM225" s="307" t="e">
        <f t="shared" ca="1" si="23"/>
        <v>#N/A</v>
      </c>
    </row>
    <row r="226" spans="33:39" ht="14.25" hidden="1" customHeight="1" x14ac:dyDescent="0.15">
      <c r="AG226" s="303" t="str">
        <f t="shared" si="22"/>
        <v>00</v>
      </c>
      <c r="AH226" s="304">
        <v>223</v>
      </c>
      <c r="AI226" s="304">
        <f>'5チーム2回戦総当たりスケジュール作業表'!$X$19</f>
        <v>0</v>
      </c>
      <c r="AJ226" s="304">
        <f>'5チーム2回戦総当たりスケジュール作業表'!$X$15</f>
        <v>0</v>
      </c>
      <c r="AK226" s="304" t="e">
        <f t="shared" ca="1" si="24"/>
        <v>#N/A</v>
      </c>
      <c r="AL226" s="304" t="e">
        <f t="shared" ca="1" si="25"/>
        <v>#N/A</v>
      </c>
      <c r="AM226" s="307" t="e">
        <f t="shared" ca="1" si="23"/>
        <v>#N/A</v>
      </c>
    </row>
    <row r="227" spans="33:39" ht="14.25" hidden="1" customHeight="1" x14ac:dyDescent="0.15">
      <c r="AG227" s="303" t="str">
        <f t="shared" si="22"/>
        <v>00</v>
      </c>
      <c r="AH227" s="304">
        <v>224</v>
      </c>
      <c r="AI227" s="304">
        <f>'5チーム2回戦総当たりスケジュール作業表'!$X$20</f>
        <v>0</v>
      </c>
      <c r="AJ227" s="304">
        <f>'5チーム2回戦総当たりスケジュール作業表'!$X$15</f>
        <v>0</v>
      </c>
      <c r="AK227" s="304" t="e">
        <f t="shared" ca="1" si="24"/>
        <v>#N/A</v>
      </c>
      <c r="AL227" s="304" t="e">
        <f t="shared" ca="1" si="25"/>
        <v>#N/A</v>
      </c>
      <c r="AM227" s="307" t="e">
        <f t="shared" ca="1" si="23"/>
        <v>#N/A</v>
      </c>
    </row>
    <row r="228" spans="33:39" ht="14.25" hidden="1" customHeight="1" x14ac:dyDescent="0.15">
      <c r="AG228" s="303" t="str">
        <f t="shared" ref="AG228:AG243" si="26">AI228&amp;AJ228</f>
        <v>00</v>
      </c>
      <c r="AH228" s="304">
        <v>225</v>
      </c>
      <c r="AI228" s="304">
        <f>'5チーム2回戦総当たりスケジュール作業表'!$X$21</f>
        <v>0</v>
      </c>
      <c r="AJ228" s="304">
        <f>'5チーム2回戦総当たりスケジュール作業表'!$X$15</f>
        <v>0</v>
      </c>
      <c r="AK228" s="304" t="e">
        <f t="shared" ca="1" si="24"/>
        <v>#N/A</v>
      </c>
      <c r="AL228" s="304" t="e">
        <f t="shared" ca="1" si="25"/>
        <v>#N/A</v>
      </c>
      <c r="AM228" s="307" t="e">
        <f t="shared" ref="AM228:AM243" ca="1" si="27">VLOOKUP(AH228,$D$4:$M$123,10,0)</f>
        <v>#N/A</v>
      </c>
    </row>
    <row r="229" spans="33:39" ht="14.25" hidden="1" customHeight="1" x14ac:dyDescent="0.15">
      <c r="AG229" s="303" t="str">
        <f t="shared" si="26"/>
        <v>00</v>
      </c>
      <c r="AH229" s="304">
        <v>226</v>
      </c>
      <c r="AI229" s="304">
        <f>'5チーム2回戦総当たりスケジュール作業表'!$X$17</f>
        <v>0</v>
      </c>
      <c r="AJ229" s="304">
        <f>'5チーム2回戦総当たりスケジュール作業表'!$X$16</f>
        <v>0</v>
      </c>
      <c r="AK229" s="304" t="e">
        <f t="shared" ca="1" si="24"/>
        <v>#N/A</v>
      </c>
      <c r="AL229" s="304" t="e">
        <f t="shared" ca="1" si="25"/>
        <v>#N/A</v>
      </c>
      <c r="AM229" s="307" t="e">
        <f t="shared" ca="1" si="27"/>
        <v>#N/A</v>
      </c>
    </row>
    <row r="230" spans="33:39" ht="14.25" hidden="1" customHeight="1" x14ac:dyDescent="0.15">
      <c r="AG230" s="303" t="str">
        <f t="shared" si="26"/>
        <v>00</v>
      </c>
      <c r="AH230" s="304">
        <v>227</v>
      </c>
      <c r="AI230" s="304">
        <f>'5チーム2回戦総当たりスケジュール作業表'!$X$18</f>
        <v>0</v>
      </c>
      <c r="AJ230" s="304">
        <f>'5チーム2回戦総当たりスケジュール作業表'!$X$16</f>
        <v>0</v>
      </c>
      <c r="AK230" s="304" t="e">
        <f t="shared" ca="1" si="24"/>
        <v>#N/A</v>
      </c>
      <c r="AL230" s="304" t="e">
        <f t="shared" ca="1" si="25"/>
        <v>#N/A</v>
      </c>
      <c r="AM230" s="307" t="e">
        <f t="shared" ca="1" si="27"/>
        <v>#N/A</v>
      </c>
    </row>
    <row r="231" spans="33:39" ht="14.25" hidden="1" customHeight="1" x14ac:dyDescent="0.15">
      <c r="AG231" s="303" t="str">
        <f t="shared" si="26"/>
        <v>00</v>
      </c>
      <c r="AH231" s="304">
        <v>228</v>
      </c>
      <c r="AI231" s="304">
        <f>'5チーム2回戦総当たりスケジュール作業表'!$X$19</f>
        <v>0</v>
      </c>
      <c r="AJ231" s="304">
        <f>'5チーム2回戦総当たりスケジュール作業表'!$X$16</f>
        <v>0</v>
      </c>
      <c r="AK231" s="304" t="e">
        <f t="shared" ca="1" si="24"/>
        <v>#N/A</v>
      </c>
      <c r="AL231" s="304" t="e">
        <f t="shared" ca="1" si="25"/>
        <v>#N/A</v>
      </c>
      <c r="AM231" s="307" t="e">
        <f t="shared" ca="1" si="27"/>
        <v>#N/A</v>
      </c>
    </row>
    <row r="232" spans="33:39" ht="14.25" hidden="1" customHeight="1" x14ac:dyDescent="0.15">
      <c r="AG232" s="303" t="str">
        <f t="shared" si="26"/>
        <v>00</v>
      </c>
      <c r="AH232" s="304">
        <v>229</v>
      </c>
      <c r="AI232" s="304">
        <f>'5チーム2回戦総当たりスケジュール作業表'!$X$20</f>
        <v>0</v>
      </c>
      <c r="AJ232" s="304">
        <f>'5チーム2回戦総当たりスケジュール作業表'!$X$16</f>
        <v>0</v>
      </c>
      <c r="AK232" s="304" t="e">
        <f t="shared" ca="1" si="24"/>
        <v>#N/A</v>
      </c>
      <c r="AL232" s="304" t="e">
        <f t="shared" ca="1" si="25"/>
        <v>#N/A</v>
      </c>
      <c r="AM232" s="307" t="e">
        <f t="shared" ca="1" si="27"/>
        <v>#N/A</v>
      </c>
    </row>
    <row r="233" spans="33:39" ht="14.25" hidden="1" customHeight="1" x14ac:dyDescent="0.15">
      <c r="AG233" s="303" t="str">
        <f t="shared" si="26"/>
        <v>00</v>
      </c>
      <c r="AH233" s="304">
        <v>230</v>
      </c>
      <c r="AI233" s="304">
        <f>'5チーム2回戦総当たりスケジュール作業表'!$X$21</f>
        <v>0</v>
      </c>
      <c r="AJ233" s="304">
        <f>'5チーム2回戦総当たりスケジュール作業表'!$X$16</f>
        <v>0</v>
      </c>
      <c r="AK233" s="304" t="e">
        <f t="shared" ca="1" si="24"/>
        <v>#N/A</v>
      </c>
      <c r="AL233" s="304" t="e">
        <f t="shared" ca="1" si="25"/>
        <v>#N/A</v>
      </c>
      <c r="AM233" s="307" t="e">
        <f t="shared" ca="1" si="27"/>
        <v>#N/A</v>
      </c>
    </row>
    <row r="234" spans="33:39" ht="14.25" hidden="1" customHeight="1" x14ac:dyDescent="0.15">
      <c r="AG234" s="303" t="str">
        <f t="shared" si="26"/>
        <v>00</v>
      </c>
      <c r="AH234" s="304">
        <v>231</v>
      </c>
      <c r="AI234" s="304">
        <f>'5チーム2回戦総当たりスケジュール作業表'!$X$18</f>
        <v>0</v>
      </c>
      <c r="AJ234" s="304">
        <f>'5チーム2回戦総当たりスケジュール作業表'!$X$17</f>
        <v>0</v>
      </c>
      <c r="AK234" s="304" t="e">
        <f t="shared" ca="1" si="24"/>
        <v>#N/A</v>
      </c>
      <c r="AL234" s="304" t="e">
        <f t="shared" ca="1" si="25"/>
        <v>#N/A</v>
      </c>
      <c r="AM234" s="307" t="e">
        <f t="shared" ca="1" si="27"/>
        <v>#N/A</v>
      </c>
    </row>
    <row r="235" spans="33:39" ht="14.25" hidden="1" customHeight="1" x14ac:dyDescent="0.15">
      <c r="AG235" s="303" t="str">
        <f t="shared" si="26"/>
        <v>00</v>
      </c>
      <c r="AH235" s="304">
        <v>232</v>
      </c>
      <c r="AI235" s="304">
        <f>'5チーム2回戦総当たりスケジュール作業表'!$X$19</f>
        <v>0</v>
      </c>
      <c r="AJ235" s="304">
        <f>'5チーム2回戦総当たりスケジュール作業表'!$X$17</f>
        <v>0</v>
      </c>
      <c r="AK235" s="304" t="e">
        <f t="shared" ca="1" si="24"/>
        <v>#N/A</v>
      </c>
      <c r="AL235" s="304" t="e">
        <f t="shared" ca="1" si="25"/>
        <v>#N/A</v>
      </c>
      <c r="AM235" s="307" t="e">
        <f t="shared" ca="1" si="27"/>
        <v>#N/A</v>
      </c>
    </row>
    <row r="236" spans="33:39" ht="14.25" hidden="1" customHeight="1" x14ac:dyDescent="0.15">
      <c r="AG236" s="303" t="str">
        <f t="shared" si="26"/>
        <v>00</v>
      </c>
      <c r="AH236" s="304">
        <v>233</v>
      </c>
      <c r="AI236" s="304">
        <f>'5チーム2回戦総当たりスケジュール作業表'!$X$20</f>
        <v>0</v>
      </c>
      <c r="AJ236" s="304">
        <f>'5チーム2回戦総当たりスケジュール作業表'!$X$17</f>
        <v>0</v>
      </c>
      <c r="AK236" s="304" t="e">
        <f t="shared" ca="1" si="24"/>
        <v>#N/A</v>
      </c>
      <c r="AL236" s="304" t="e">
        <f t="shared" ca="1" si="25"/>
        <v>#N/A</v>
      </c>
      <c r="AM236" s="307" t="e">
        <f t="shared" ca="1" si="27"/>
        <v>#N/A</v>
      </c>
    </row>
    <row r="237" spans="33:39" ht="14.25" hidden="1" customHeight="1" x14ac:dyDescent="0.15">
      <c r="AG237" s="303" t="str">
        <f t="shared" si="26"/>
        <v>00</v>
      </c>
      <c r="AH237" s="304">
        <v>234</v>
      </c>
      <c r="AI237" s="304">
        <f>'5チーム2回戦総当たりスケジュール作業表'!$X$21</f>
        <v>0</v>
      </c>
      <c r="AJ237" s="304">
        <f>'5チーム2回戦総当たりスケジュール作業表'!$X$17</f>
        <v>0</v>
      </c>
      <c r="AK237" s="304" t="e">
        <f t="shared" ca="1" si="24"/>
        <v>#N/A</v>
      </c>
      <c r="AL237" s="304" t="e">
        <f t="shared" ca="1" si="25"/>
        <v>#N/A</v>
      </c>
      <c r="AM237" s="307" t="e">
        <f t="shared" ca="1" si="27"/>
        <v>#N/A</v>
      </c>
    </row>
    <row r="238" spans="33:39" ht="14.25" hidden="1" customHeight="1" x14ac:dyDescent="0.15">
      <c r="AG238" s="303" t="str">
        <f t="shared" si="26"/>
        <v>00</v>
      </c>
      <c r="AH238" s="304">
        <v>235</v>
      </c>
      <c r="AI238" s="304">
        <f>'5チーム2回戦総当たりスケジュール作業表'!$X$19</f>
        <v>0</v>
      </c>
      <c r="AJ238" s="304">
        <f>'5チーム2回戦総当たりスケジュール作業表'!$X$18</f>
        <v>0</v>
      </c>
      <c r="AK238" s="304" t="e">
        <f t="shared" ca="1" si="24"/>
        <v>#N/A</v>
      </c>
      <c r="AL238" s="304" t="e">
        <f t="shared" ca="1" si="25"/>
        <v>#N/A</v>
      </c>
      <c r="AM238" s="307" t="e">
        <f t="shared" ca="1" si="27"/>
        <v>#N/A</v>
      </c>
    </row>
    <row r="239" spans="33:39" ht="14.25" hidden="1" customHeight="1" x14ac:dyDescent="0.15">
      <c r="AG239" s="303" t="str">
        <f t="shared" si="26"/>
        <v>00</v>
      </c>
      <c r="AH239" s="304">
        <v>236</v>
      </c>
      <c r="AI239" s="304">
        <f>'5チーム2回戦総当たりスケジュール作業表'!$X$20</f>
        <v>0</v>
      </c>
      <c r="AJ239" s="304">
        <f>'5チーム2回戦総当たりスケジュール作業表'!$X$18</f>
        <v>0</v>
      </c>
      <c r="AK239" s="304" t="e">
        <f t="shared" ca="1" si="24"/>
        <v>#N/A</v>
      </c>
      <c r="AL239" s="304" t="e">
        <f t="shared" ca="1" si="25"/>
        <v>#N/A</v>
      </c>
      <c r="AM239" s="307" t="e">
        <f t="shared" ca="1" si="27"/>
        <v>#N/A</v>
      </c>
    </row>
    <row r="240" spans="33:39" ht="14.25" hidden="1" customHeight="1" x14ac:dyDescent="0.15">
      <c r="AG240" s="303" t="str">
        <f t="shared" si="26"/>
        <v>00</v>
      </c>
      <c r="AH240" s="304">
        <v>237</v>
      </c>
      <c r="AI240" s="304">
        <f>'5チーム2回戦総当たりスケジュール作業表'!$X$21</f>
        <v>0</v>
      </c>
      <c r="AJ240" s="304">
        <f>'5チーム2回戦総当たりスケジュール作業表'!$X$18</f>
        <v>0</v>
      </c>
      <c r="AK240" s="304" t="e">
        <f t="shared" ca="1" si="24"/>
        <v>#N/A</v>
      </c>
      <c r="AL240" s="304" t="e">
        <f t="shared" ca="1" si="25"/>
        <v>#N/A</v>
      </c>
      <c r="AM240" s="307" t="e">
        <f t="shared" ca="1" si="27"/>
        <v>#N/A</v>
      </c>
    </row>
    <row r="241" spans="33:39" ht="14.25" hidden="1" customHeight="1" x14ac:dyDescent="0.15">
      <c r="AG241" s="303" t="str">
        <f t="shared" si="26"/>
        <v>00</v>
      </c>
      <c r="AH241" s="304">
        <v>238</v>
      </c>
      <c r="AI241" s="304">
        <f>'5チーム2回戦総当たりスケジュール作業表'!$X$20</f>
        <v>0</v>
      </c>
      <c r="AJ241" s="304">
        <f>'5チーム2回戦総当たりスケジュール作業表'!$X$19</f>
        <v>0</v>
      </c>
      <c r="AK241" s="304" t="e">
        <f t="shared" ca="1" si="24"/>
        <v>#N/A</v>
      </c>
      <c r="AL241" s="304" t="e">
        <f t="shared" ca="1" si="25"/>
        <v>#N/A</v>
      </c>
      <c r="AM241" s="307" t="e">
        <f t="shared" ca="1" si="27"/>
        <v>#N/A</v>
      </c>
    </row>
    <row r="242" spans="33:39" ht="14.25" hidden="1" customHeight="1" x14ac:dyDescent="0.15">
      <c r="AG242" s="303" t="str">
        <f t="shared" si="26"/>
        <v>00</v>
      </c>
      <c r="AH242" s="304">
        <v>239</v>
      </c>
      <c r="AI242" s="304">
        <f>'5チーム2回戦総当たりスケジュール作業表'!$X$21</f>
        <v>0</v>
      </c>
      <c r="AJ242" s="304">
        <f>'5チーム2回戦総当たりスケジュール作業表'!$X$19</f>
        <v>0</v>
      </c>
      <c r="AK242" s="304" t="e">
        <f t="shared" ca="1" si="24"/>
        <v>#N/A</v>
      </c>
      <c r="AL242" s="304" t="e">
        <f t="shared" ca="1" si="25"/>
        <v>#N/A</v>
      </c>
      <c r="AM242" s="307" t="e">
        <f t="shared" ca="1" si="27"/>
        <v>#N/A</v>
      </c>
    </row>
    <row r="243" spans="33:39" ht="14.25" hidden="1" customHeight="1" thickBot="1" x14ac:dyDescent="0.2">
      <c r="AG243" s="308" t="str">
        <f t="shared" si="26"/>
        <v>00</v>
      </c>
      <c r="AH243" s="309">
        <v>240</v>
      </c>
      <c r="AI243" s="309">
        <f>'5チーム2回戦総当たりスケジュール作業表'!$X$21</f>
        <v>0</v>
      </c>
      <c r="AJ243" s="309">
        <f>'5チーム2回戦総当たりスケジュール作業表'!$X$20</f>
        <v>0</v>
      </c>
      <c r="AK243" s="309" t="e">
        <f t="shared" ca="1" si="24"/>
        <v>#N/A</v>
      </c>
      <c r="AL243" s="309" t="e">
        <f t="shared" ca="1" si="25"/>
        <v>#N/A</v>
      </c>
      <c r="AM243" s="310" t="e">
        <f t="shared" ca="1" si="27"/>
        <v>#N/A</v>
      </c>
    </row>
  </sheetData>
  <sheetProtection algorithmName="SHA-512" hashValue="aWEr3aeWqqSBE01KlI8YdvsEObOqsXHrrsuuT7x2ohM+Ca0gpNNx/ZThIyLERZezRDE28GLrJZJJvQQaB2C70w==" saltValue="xGBlvqrPDHrS+xr3y0wGlg==" spinCount="100000" sheet="1" formatCells="0"/>
  <mergeCells count="6">
    <mergeCell ref="K3:L3"/>
    <mergeCell ref="K1:L1"/>
    <mergeCell ref="E1:I1"/>
    <mergeCell ref="A2:I2"/>
    <mergeCell ref="A3:C3"/>
    <mergeCell ref="E3:I3"/>
  </mergeCells>
  <phoneticPr fontId="19"/>
  <conditionalFormatting sqref="AK5:AL123 AK125:AL243">
    <cfRule type="expression" dxfId="1" priority="2" stopIfTrue="1">
      <formula>"and(AK5=#N/A)"</formula>
    </cfRule>
  </conditionalFormatting>
  <conditionalFormatting sqref="AK4:AM4 AM5:AM123 AK124:AM124 AM125:AM243">
    <cfRule type="expression" dxfId="0" priority="1" stopIfTrue="1">
      <formula>"and(AK4=#N/A)"</formula>
    </cfRule>
  </conditionalFormatting>
  <printOptions horizontalCentered="1"/>
  <pageMargins left="0.39370078740157483" right="0.39370078740157483" top="0.78740157480314965" bottom="0.19685039370078741" header="0.39370078740157483" footer="0.15748031496062992"/>
  <pageSetup paperSize="9" scale="95" orientation="landscape" r:id="rId1"/>
  <headerFooter alignWithMargins="0">
    <oddHeader>&amp;C&amp;"HGP創英角ｺﾞｼｯｸUB,ｳﾙﾄﾗﾎﾞｰﾙﾄﾞ"&amp;12■ エスパルスドリームフィールド清水 フットサルリーグ ■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8"/>
  <sheetViews>
    <sheetView zoomScale="75" workbookViewId="0">
      <selection activeCell="A3" sqref="A3:B4"/>
    </sheetView>
  </sheetViews>
  <sheetFormatPr defaultColWidth="10.28515625" defaultRowHeight="16.5" x14ac:dyDescent="0.15"/>
  <cols>
    <col min="1" max="5" width="4.140625" style="52" customWidth="1"/>
    <col min="6" max="6" width="4.140625" style="62" customWidth="1"/>
    <col min="7" max="28" width="4.140625" style="52" customWidth="1"/>
    <col min="29" max="41" width="4.140625" style="52" hidden="1" customWidth="1"/>
    <col min="42" max="46" width="3.5703125" style="52" customWidth="1"/>
    <col min="47" max="55" width="4.140625" style="52" customWidth="1"/>
    <col min="56" max="16384" width="10.28515625" style="52"/>
  </cols>
  <sheetData>
    <row r="1" spans="1:56" ht="24.95" customHeight="1" x14ac:dyDescent="0.15">
      <c r="A1" s="40" t="str">
        <f>"★"&amp;'5チーム2回戦総当たりスケジュール作業表'!$C$1&amp;"リーグ"</f>
        <v>★木曜リーグ</v>
      </c>
      <c r="B1" s="48"/>
      <c r="C1" s="48"/>
      <c r="D1" s="48"/>
      <c r="E1" s="48"/>
      <c r="F1" s="48"/>
      <c r="G1" s="40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/>
      <c r="AQ1" s="50"/>
      <c r="AR1" s="50"/>
      <c r="AS1" s="50"/>
      <c r="AT1" s="50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ht="30" customHeight="1" x14ac:dyDescent="0.15">
      <c r="A2" s="574">
        <v>10</v>
      </c>
      <c r="B2" s="574"/>
      <c r="C2" s="574"/>
      <c r="D2" s="574"/>
      <c r="E2" s="579" t="s">
        <v>53</v>
      </c>
      <c r="F2" s="579"/>
      <c r="G2" s="579"/>
      <c r="H2" s="579"/>
      <c r="I2" s="578">
        <f>VLOOKUP($A$2,'5チーム2回戦総当たりスケジュール作業表'!$A$6:$B$25,2)</f>
        <v>45253</v>
      </c>
      <c r="J2" s="578"/>
      <c r="K2" s="578"/>
      <c r="L2" s="578"/>
      <c r="M2" s="535"/>
      <c r="N2" s="535"/>
      <c r="O2" s="53"/>
      <c r="P2" s="533" t="s">
        <v>54</v>
      </c>
      <c r="Q2" s="534"/>
      <c r="R2" s="534"/>
      <c r="S2" s="534"/>
      <c r="T2" s="532">
        <f>'5チーム2回戦総当たりスケジュール作業表'!$B$6</f>
        <v>45190</v>
      </c>
      <c r="U2" s="535"/>
      <c r="V2" s="535"/>
      <c r="W2" s="536" t="str">
        <f>"(第"&amp;'5チーム2回戦総当たりスケジュール作業表'!$A$6&amp;"節)"</f>
        <v>(第1節)</v>
      </c>
      <c r="X2" s="536"/>
      <c r="Y2" s="54" t="s">
        <v>55</v>
      </c>
      <c r="Z2" s="532">
        <f>'5チーム2回戦総当たりスケジュール作業表'!$B$15</f>
        <v>45253</v>
      </c>
      <c r="AA2" s="532"/>
      <c r="AB2" s="532"/>
      <c r="AG2" s="55"/>
      <c r="AH2" s="55"/>
      <c r="AI2" s="55"/>
      <c r="AJ2" s="55"/>
      <c r="AK2" s="55"/>
      <c r="AL2" s="55"/>
      <c r="AM2" s="55"/>
      <c r="AN2" s="55"/>
      <c r="AO2" s="55"/>
      <c r="AP2" s="536" t="str">
        <f>"(第"&amp;'5チーム2回戦総当たりスケジュール作業表'!$A$15&amp;"節/最終節)"</f>
        <v>(第10節/最終節)</v>
      </c>
      <c r="AQ2" s="536"/>
      <c r="AR2" s="535"/>
      <c r="AS2" s="535"/>
      <c r="AT2" s="55"/>
    </row>
    <row r="3" spans="1:56" ht="13.5" customHeight="1" x14ac:dyDescent="0.15">
      <c r="A3" s="575" t="s">
        <v>56</v>
      </c>
      <c r="B3" s="576"/>
      <c r="C3" s="530" t="str">
        <f>'5チーム2回戦総当たりスケジュール作業表'!$C$3&amp;'5チーム2回戦総当たりスケジュール作業表'!$D$3</f>
        <v>21:10kickoff</v>
      </c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 t="str">
        <f>'5チーム2回戦総当たりスケジュール作業表'!$G$3&amp;'5チーム2回戦総当たりスケジュール作業表'!$H$3</f>
        <v>22:00kickoff</v>
      </c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 t="str">
        <f>'5チーム2回戦総当たりスケジュール作業表'!$K$3&amp;'5チーム2回戦総当たりスケジュール作業表'!$L$3</f>
        <v>kickoff</v>
      </c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56" t="s">
        <v>69</v>
      </c>
      <c r="AQ3" s="557"/>
      <c r="AR3" s="557"/>
      <c r="AS3" s="557"/>
      <c r="AT3" s="558"/>
    </row>
    <row r="4" spans="1:56" ht="13.5" customHeight="1" x14ac:dyDescent="0.15">
      <c r="A4" s="577"/>
      <c r="B4" s="577"/>
      <c r="C4" s="531" t="s">
        <v>57</v>
      </c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 t="s">
        <v>57</v>
      </c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 t="s">
        <v>57</v>
      </c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531"/>
      <c r="AP4" s="587" t="str">
        <f>VLOOKUP($A$2,'5チーム2回戦総当たりスケジュール作業表'!$A$6:$R$25,11)</f>
        <v>T-25</v>
      </c>
      <c r="AQ4" s="588"/>
      <c r="AR4" s="588"/>
      <c r="AS4" s="588"/>
      <c r="AT4" s="589"/>
    </row>
    <row r="5" spans="1:56" ht="13.5" customHeight="1" x14ac:dyDescent="0.15">
      <c r="A5" s="559" t="str">
        <f>'5チーム2回戦総当たりスケジュール作業表'!$P$1&amp;"コート"</f>
        <v>西コート</v>
      </c>
      <c r="B5" s="560"/>
      <c r="C5" s="548" t="str">
        <f>VLOOKUP($A$2,'5チーム2回戦総当たりスケジュール作業表'!$A$6:$R$25,3)</f>
        <v>PURE</v>
      </c>
      <c r="D5" s="544"/>
      <c r="E5" s="544"/>
      <c r="F5" s="544"/>
      <c r="G5" s="544"/>
      <c r="H5" s="544"/>
      <c r="I5" s="550" t="s">
        <v>64</v>
      </c>
      <c r="J5" s="544" t="str">
        <f>VLOOKUP($A$2,'5チーム2回戦総当たりスケジュール作業表'!$A$6:$R$25,4)</f>
        <v>飛杉田新地</v>
      </c>
      <c r="K5" s="544"/>
      <c r="L5" s="544"/>
      <c r="M5" s="544"/>
      <c r="N5" s="544"/>
      <c r="O5" s="545"/>
      <c r="P5" s="548" t="str">
        <f>VLOOKUP($A$2,'5チーム2回戦総当たりスケジュール作業表'!$A$6:$R$25,7)</f>
        <v>うなぎ</v>
      </c>
      <c r="Q5" s="544"/>
      <c r="R5" s="544"/>
      <c r="S5" s="544"/>
      <c r="T5" s="544"/>
      <c r="U5" s="544"/>
      <c r="V5" s="550" t="s">
        <v>64</v>
      </c>
      <c r="W5" s="544" t="str">
        <f>VLOOKUP($A$2,'5チーム2回戦総当たりスケジュール作業表'!$A$6:$R$25,8)</f>
        <v>Etelia</v>
      </c>
      <c r="X5" s="544"/>
      <c r="Y5" s="544"/>
      <c r="Z5" s="544"/>
      <c r="AA5" s="544"/>
      <c r="AB5" s="545"/>
      <c r="AC5" s="548"/>
      <c r="AD5" s="544"/>
      <c r="AE5" s="544"/>
      <c r="AF5" s="544"/>
      <c r="AG5" s="544"/>
      <c r="AH5" s="544"/>
      <c r="AI5" s="550" t="s">
        <v>64</v>
      </c>
      <c r="AJ5" s="544">
        <f>VLOOKUP($A$2,'5チーム2回戦総当たりスケジュール作業表'!$A$6:$R$25,12)</f>
        <v>0</v>
      </c>
      <c r="AK5" s="544"/>
      <c r="AL5" s="544"/>
      <c r="AM5" s="544"/>
      <c r="AN5" s="544"/>
      <c r="AO5" s="545"/>
      <c r="AP5" s="590"/>
      <c r="AQ5" s="591"/>
      <c r="AR5" s="591"/>
      <c r="AS5" s="591"/>
      <c r="AT5" s="592"/>
    </row>
    <row r="6" spans="1:56" ht="13.5" customHeight="1" x14ac:dyDescent="0.15">
      <c r="A6" s="561"/>
      <c r="B6" s="562"/>
      <c r="C6" s="549"/>
      <c r="D6" s="546"/>
      <c r="E6" s="546"/>
      <c r="F6" s="546"/>
      <c r="G6" s="546"/>
      <c r="H6" s="546"/>
      <c r="I6" s="551"/>
      <c r="J6" s="546"/>
      <c r="K6" s="546"/>
      <c r="L6" s="546"/>
      <c r="M6" s="546"/>
      <c r="N6" s="546"/>
      <c r="O6" s="547"/>
      <c r="P6" s="549"/>
      <c r="Q6" s="546"/>
      <c r="R6" s="546"/>
      <c r="S6" s="546"/>
      <c r="T6" s="546"/>
      <c r="U6" s="546"/>
      <c r="V6" s="551"/>
      <c r="W6" s="546"/>
      <c r="X6" s="546"/>
      <c r="Y6" s="546"/>
      <c r="Z6" s="546"/>
      <c r="AA6" s="546"/>
      <c r="AB6" s="547"/>
      <c r="AC6" s="549"/>
      <c r="AD6" s="546"/>
      <c r="AE6" s="546"/>
      <c r="AF6" s="546"/>
      <c r="AG6" s="546"/>
      <c r="AH6" s="546"/>
      <c r="AI6" s="551"/>
      <c r="AJ6" s="546"/>
      <c r="AK6" s="546"/>
      <c r="AL6" s="546"/>
      <c r="AM6" s="546"/>
      <c r="AN6" s="546"/>
      <c r="AO6" s="547"/>
      <c r="AP6" s="590"/>
      <c r="AQ6" s="591"/>
      <c r="AR6" s="591"/>
      <c r="AS6" s="591"/>
      <c r="AT6" s="592"/>
    </row>
    <row r="7" spans="1:56" ht="13.5" customHeight="1" x14ac:dyDescent="0.15">
      <c r="A7" s="561"/>
      <c r="B7" s="562"/>
      <c r="C7" s="552" t="s">
        <v>27</v>
      </c>
      <c r="D7" s="555"/>
      <c r="E7" s="555"/>
      <c r="F7" s="555"/>
      <c r="G7" s="555"/>
      <c r="H7" s="555"/>
      <c r="I7" s="581" t="s">
        <v>58</v>
      </c>
      <c r="J7" s="555"/>
      <c r="K7" s="555"/>
      <c r="L7" s="555"/>
      <c r="M7" s="555"/>
      <c r="N7" s="555"/>
      <c r="O7" s="553" t="s">
        <v>27</v>
      </c>
      <c r="P7" s="552" t="s">
        <v>27</v>
      </c>
      <c r="Q7" s="555"/>
      <c r="R7" s="555"/>
      <c r="S7" s="555"/>
      <c r="T7" s="555"/>
      <c r="U7" s="555"/>
      <c r="V7" s="581" t="s">
        <v>58</v>
      </c>
      <c r="W7" s="555"/>
      <c r="X7" s="555"/>
      <c r="Y7" s="555"/>
      <c r="Z7" s="555"/>
      <c r="AA7" s="555"/>
      <c r="AB7" s="553" t="s">
        <v>27</v>
      </c>
      <c r="AC7" s="552" t="s">
        <v>27</v>
      </c>
      <c r="AD7" s="555"/>
      <c r="AE7" s="555"/>
      <c r="AF7" s="555"/>
      <c r="AG7" s="555"/>
      <c r="AH7" s="555"/>
      <c r="AI7" s="581" t="s">
        <v>58</v>
      </c>
      <c r="AJ7" s="555"/>
      <c r="AK7" s="555"/>
      <c r="AL7" s="555"/>
      <c r="AM7" s="555"/>
      <c r="AN7" s="555"/>
      <c r="AO7" s="553" t="s">
        <v>27</v>
      </c>
      <c r="AP7" s="593"/>
      <c r="AQ7" s="594"/>
      <c r="AR7" s="594"/>
      <c r="AS7" s="594"/>
      <c r="AT7" s="595"/>
    </row>
    <row r="8" spans="1:56" ht="13.5" customHeight="1" x14ac:dyDescent="0.15">
      <c r="A8" s="561"/>
      <c r="B8" s="562"/>
      <c r="C8" s="543"/>
      <c r="D8" s="542"/>
      <c r="E8" s="542"/>
      <c r="F8" s="542"/>
      <c r="G8" s="542"/>
      <c r="H8" s="542"/>
      <c r="I8" s="539"/>
      <c r="J8" s="542"/>
      <c r="K8" s="542"/>
      <c r="L8" s="542"/>
      <c r="M8" s="542"/>
      <c r="N8" s="542"/>
      <c r="O8" s="554"/>
      <c r="P8" s="543"/>
      <c r="Q8" s="542"/>
      <c r="R8" s="542"/>
      <c r="S8" s="542"/>
      <c r="T8" s="542"/>
      <c r="U8" s="542"/>
      <c r="V8" s="539"/>
      <c r="W8" s="542"/>
      <c r="X8" s="542"/>
      <c r="Y8" s="542"/>
      <c r="Z8" s="542"/>
      <c r="AA8" s="542"/>
      <c r="AB8" s="554"/>
      <c r="AC8" s="543"/>
      <c r="AD8" s="542"/>
      <c r="AE8" s="542"/>
      <c r="AF8" s="542"/>
      <c r="AG8" s="542"/>
      <c r="AH8" s="542"/>
      <c r="AI8" s="539"/>
      <c r="AJ8" s="542"/>
      <c r="AK8" s="542"/>
      <c r="AL8" s="542"/>
      <c r="AM8" s="542"/>
      <c r="AN8" s="542"/>
      <c r="AO8" s="554"/>
      <c r="AP8" s="584" t="s">
        <v>59</v>
      </c>
      <c r="AQ8" s="585"/>
      <c r="AR8" s="585"/>
      <c r="AS8" s="585"/>
      <c r="AT8" s="586"/>
    </row>
    <row r="9" spans="1:56" ht="13.5" customHeight="1" x14ac:dyDescent="0.15">
      <c r="A9" s="561"/>
      <c r="B9" s="562"/>
      <c r="C9" s="543"/>
      <c r="D9" s="542"/>
      <c r="E9" s="542"/>
      <c r="F9" s="542"/>
      <c r="G9" s="542"/>
      <c r="H9" s="542"/>
      <c r="I9" s="539" t="s">
        <v>60</v>
      </c>
      <c r="J9" s="542"/>
      <c r="K9" s="542"/>
      <c r="L9" s="542"/>
      <c r="M9" s="542"/>
      <c r="N9" s="542"/>
      <c r="O9" s="554"/>
      <c r="P9" s="543"/>
      <c r="Q9" s="542"/>
      <c r="R9" s="542"/>
      <c r="S9" s="542"/>
      <c r="T9" s="542"/>
      <c r="U9" s="542"/>
      <c r="V9" s="539" t="s">
        <v>60</v>
      </c>
      <c r="W9" s="542"/>
      <c r="X9" s="542"/>
      <c r="Y9" s="542"/>
      <c r="Z9" s="542"/>
      <c r="AA9" s="542"/>
      <c r="AB9" s="554"/>
      <c r="AC9" s="543"/>
      <c r="AD9" s="542"/>
      <c r="AE9" s="542"/>
      <c r="AF9" s="542"/>
      <c r="AG9" s="542"/>
      <c r="AH9" s="542"/>
      <c r="AI9" s="539" t="s">
        <v>60</v>
      </c>
      <c r="AJ9" s="542"/>
      <c r="AK9" s="542"/>
      <c r="AL9" s="542"/>
      <c r="AM9" s="542"/>
      <c r="AN9" s="542"/>
      <c r="AO9" s="554"/>
      <c r="AP9" s="56"/>
      <c r="AQ9" s="57"/>
      <c r="AR9" s="57"/>
      <c r="AS9" s="57"/>
      <c r="AT9" s="58"/>
    </row>
    <row r="10" spans="1:56" ht="13.5" customHeight="1" x14ac:dyDescent="0.15">
      <c r="A10" s="561"/>
      <c r="B10" s="562"/>
      <c r="C10" s="543"/>
      <c r="D10" s="542"/>
      <c r="E10" s="542"/>
      <c r="F10" s="542"/>
      <c r="G10" s="542"/>
      <c r="H10" s="542"/>
      <c r="I10" s="539"/>
      <c r="J10" s="542"/>
      <c r="K10" s="542"/>
      <c r="L10" s="542"/>
      <c r="M10" s="542"/>
      <c r="N10" s="542"/>
      <c r="O10" s="554"/>
      <c r="P10" s="543"/>
      <c r="Q10" s="542"/>
      <c r="R10" s="542"/>
      <c r="S10" s="542"/>
      <c r="T10" s="542"/>
      <c r="U10" s="542"/>
      <c r="V10" s="539"/>
      <c r="W10" s="542"/>
      <c r="X10" s="542"/>
      <c r="Y10" s="542"/>
      <c r="Z10" s="542"/>
      <c r="AA10" s="542"/>
      <c r="AB10" s="554"/>
      <c r="AC10" s="543"/>
      <c r="AD10" s="542"/>
      <c r="AE10" s="542"/>
      <c r="AF10" s="542"/>
      <c r="AG10" s="542"/>
      <c r="AH10" s="542"/>
      <c r="AI10" s="539"/>
      <c r="AJ10" s="542"/>
      <c r="AK10" s="542"/>
      <c r="AL10" s="542"/>
      <c r="AM10" s="542"/>
      <c r="AN10" s="542"/>
      <c r="AO10" s="554"/>
      <c r="AP10" s="56"/>
      <c r="AQ10" s="57"/>
      <c r="AR10" s="57"/>
      <c r="AS10" s="57"/>
      <c r="AT10" s="58"/>
    </row>
    <row r="11" spans="1:56" ht="13.5" customHeight="1" x14ac:dyDescent="0.15">
      <c r="A11" s="561"/>
      <c r="B11" s="562"/>
      <c r="C11" s="543" t="s">
        <v>65</v>
      </c>
      <c r="D11" s="542"/>
      <c r="E11" s="542"/>
      <c r="F11" s="542"/>
      <c r="G11" s="542"/>
      <c r="H11" s="542"/>
      <c r="I11" s="539" t="s">
        <v>58</v>
      </c>
      <c r="J11" s="542"/>
      <c r="K11" s="542"/>
      <c r="L11" s="542"/>
      <c r="M11" s="542"/>
      <c r="N11" s="542"/>
      <c r="O11" s="554" t="s">
        <v>65</v>
      </c>
      <c r="P11" s="543" t="s">
        <v>65</v>
      </c>
      <c r="Q11" s="542"/>
      <c r="R11" s="542"/>
      <c r="S11" s="542"/>
      <c r="T11" s="542"/>
      <c r="U11" s="542"/>
      <c r="V11" s="539" t="s">
        <v>58</v>
      </c>
      <c r="W11" s="542"/>
      <c r="X11" s="542"/>
      <c r="Y11" s="542"/>
      <c r="Z11" s="542"/>
      <c r="AA11" s="542"/>
      <c r="AB11" s="554" t="s">
        <v>65</v>
      </c>
      <c r="AC11" s="543" t="s">
        <v>65</v>
      </c>
      <c r="AD11" s="542"/>
      <c r="AE11" s="542"/>
      <c r="AF11" s="542"/>
      <c r="AG11" s="542"/>
      <c r="AH11" s="542"/>
      <c r="AI11" s="539" t="s">
        <v>58</v>
      </c>
      <c r="AJ11" s="542"/>
      <c r="AK11" s="542"/>
      <c r="AL11" s="542"/>
      <c r="AM11" s="542"/>
      <c r="AN11" s="542"/>
      <c r="AO11" s="554" t="s">
        <v>65</v>
      </c>
      <c r="AP11" s="56"/>
      <c r="AQ11" s="57"/>
      <c r="AR11" s="57"/>
      <c r="AS11" s="57"/>
      <c r="AT11" s="58"/>
    </row>
    <row r="12" spans="1:56" ht="13.5" customHeight="1" x14ac:dyDescent="0.15">
      <c r="A12" s="561"/>
      <c r="B12" s="562"/>
      <c r="C12" s="543"/>
      <c r="D12" s="542"/>
      <c r="E12" s="542"/>
      <c r="F12" s="542"/>
      <c r="G12" s="542"/>
      <c r="H12" s="542"/>
      <c r="I12" s="539"/>
      <c r="J12" s="542"/>
      <c r="K12" s="542"/>
      <c r="L12" s="542"/>
      <c r="M12" s="542"/>
      <c r="N12" s="542"/>
      <c r="O12" s="554"/>
      <c r="P12" s="543"/>
      <c r="Q12" s="542"/>
      <c r="R12" s="542"/>
      <c r="S12" s="542"/>
      <c r="T12" s="542"/>
      <c r="U12" s="542"/>
      <c r="V12" s="539"/>
      <c r="W12" s="542"/>
      <c r="X12" s="542"/>
      <c r="Y12" s="542"/>
      <c r="Z12" s="542"/>
      <c r="AA12" s="542"/>
      <c r="AB12" s="554"/>
      <c r="AC12" s="543"/>
      <c r="AD12" s="542"/>
      <c r="AE12" s="542"/>
      <c r="AF12" s="542"/>
      <c r="AG12" s="542"/>
      <c r="AH12" s="542"/>
      <c r="AI12" s="539"/>
      <c r="AJ12" s="542"/>
      <c r="AK12" s="542"/>
      <c r="AL12" s="542"/>
      <c r="AM12" s="542"/>
      <c r="AN12" s="542"/>
      <c r="AO12" s="554"/>
      <c r="AP12" s="56"/>
      <c r="AQ12" s="57"/>
      <c r="AR12" s="57"/>
      <c r="AS12" s="57"/>
      <c r="AT12" s="58"/>
    </row>
    <row r="13" spans="1:56" ht="13.5" customHeight="1" x14ac:dyDescent="0.15">
      <c r="A13" s="561"/>
      <c r="B13" s="562"/>
      <c r="C13" s="543"/>
      <c r="D13" s="542"/>
      <c r="E13" s="542"/>
      <c r="F13" s="542"/>
      <c r="G13" s="542"/>
      <c r="H13" s="542"/>
      <c r="I13" s="539" t="s">
        <v>60</v>
      </c>
      <c r="J13" s="542"/>
      <c r="K13" s="542"/>
      <c r="L13" s="542"/>
      <c r="M13" s="542"/>
      <c r="N13" s="542"/>
      <c r="O13" s="554"/>
      <c r="P13" s="543"/>
      <c r="Q13" s="542"/>
      <c r="R13" s="542"/>
      <c r="S13" s="542"/>
      <c r="T13" s="542"/>
      <c r="U13" s="542"/>
      <c r="V13" s="539" t="s">
        <v>60</v>
      </c>
      <c r="W13" s="542"/>
      <c r="X13" s="542"/>
      <c r="Y13" s="542"/>
      <c r="Z13" s="542"/>
      <c r="AA13" s="542"/>
      <c r="AB13" s="554"/>
      <c r="AC13" s="543"/>
      <c r="AD13" s="542"/>
      <c r="AE13" s="542"/>
      <c r="AF13" s="542"/>
      <c r="AG13" s="542"/>
      <c r="AH13" s="542"/>
      <c r="AI13" s="539" t="s">
        <v>60</v>
      </c>
      <c r="AJ13" s="542"/>
      <c r="AK13" s="542"/>
      <c r="AL13" s="542"/>
      <c r="AM13" s="542"/>
      <c r="AN13" s="542"/>
      <c r="AO13" s="554"/>
      <c r="AP13" s="56"/>
      <c r="AQ13" s="57"/>
      <c r="AR13" s="57"/>
      <c r="AS13" s="57"/>
      <c r="AT13" s="58"/>
    </row>
    <row r="14" spans="1:56" ht="13.5" customHeight="1" x14ac:dyDescent="0.15">
      <c r="A14" s="561"/>
      <c r="B14" s="562"/>
      <c r="C14" s="543"/>
      <c r="D14" s="542"/>
      <c r="E14" s="542"/>
      <c r="F14" s="542"/>
      <c r="G14" s="542"/>
      <c r="H14" s="542"/>
      <c r="I14" s="539"/>
      <c r="J14" s="542"/>
      <c r="K14" s="542"/>
      <c r="L14" s="542"/>
      <c r="M14" s="542"/>
      <c r="N14" s="542"/>
      <c r="O14" s="554"/>
      <c r="P14" s="543"/>
      <c r="Q14" s="542"/>
      <c r="R14" s="542"/>
      <c r="S14" s="542"/>
      <c r="T14" s="542"/>
      <c r="U14" s="542"/>
      <c r="V14" s="539"/>
      <c r="W14" s="542"/>
      <c r="X14" s="542"/>
      <c r="Y14" s="542"/>
      <c r="Z14" s="542"/>
      <c r="AA14" s="542"/>
      <c r="AB14" s="554"/>
      <c r="AC14" s="543"/>
      <c r="AD14" s="542"/>
      <c r="AE14" s="542"/>
      <c r="AF14" s="542"/>
      <c r="AG14" s="542"/>
      <c r="AH14" s="542"/>
      <c r="AI14" s="539"/>
      <c r="AJ14" s="542"/>
      <c r="AK14" s="542"/>
      <c r="AL14" s="542"/>
      <c r="AM14" s="542"/>
      <c r="AN14" s="542"/>
      <c r="AO14" s="554"/>
      <c r="AP14" s="56"/>
      <c r="AQ14" s="57"/>
      <c r="AR14" s="57"/>
      <c r="AS14" s="57"/>
      <c r="AT14" s="58"/>
    </row>
    <row r="15" spans="1:56" ht="13.5" customHeight="1" x14ac:dyDescent="0.15">
      <c r="A15" s="561"/>
      <c r="B15" s="562"/>
      <c r="C15" s="543" t="s">
        <v>61</v>
      </c>
      <c r="D15" s="542"/>
      <c r="E15" s="542"/>
      <c r="F15" s="542"/>
      <c r="G15" s="542"/>
      <c r="H15" s="542"/>
      <c r="I15" s="539" t="s">
        <v>58</v>
      </c>
      <c r="J15" s="542"/>
      <c r="K15" s="542"/>
      <c r="L15" s="542"/>
      <c r="M15" s="542"/>
      <c r="N15" s="542"/>
      <c r="O15" s="554" t="s">
        <v>61</v>
      </c>
      <c r="P15" s="543" t="s">
        <v>61</v>
      </c>
      <c r="Q15" s="542"/>
      <c r="R15" s="542"/>
      <c r="S15" s="542"/>
      <c r="T15" s="542"/>
      <c r="U15" s="542"/>
      <c r="V15" s="539" t="s">
        <v>58</v>
      </c>
      <c r="W15" s="542"/>
      <c r="X15" s="542"/>
      <c r="Y15" s="542"/>
      <c r="Z15" s="542"/>
      <c r="AA15" s="542"/>
      <c r="AB15" s="554" t="s">
        <v>61</v>
      </c>
      <c r="AC15" s="543" t="s">
        <v>61</v>
      </c>
      <c r="AD15" s="542"/>
      <c r="AE15" s="542"/>
      <c r="AF15" s="542"/>
      <c r="AG15" s="542"/>
      <c r="AH15" s="542"/>
      <c r="AI15" s="539" t="s">
        <v>58</v>
      </c>
      <c r="AJ15" s="542"/>
      <c r="AK15" s="542"/>
      <c r="AL15" s="542"/>
      <c r="AM15" s="542"/>
      <c r="AN15" s="542"/>
      <c r="AO15" s="554" t="s">
        <v>61</v>
      </c>
      <c r="AP15" s="56"/>
      <c r="AQ15" s="57"/>
      <c r="AR15" s="57"/>
      <c r="AS15" s="57"/>
      <c r="AT15" s="58"/>
    </row>
    <row r="16" spans="1:56" ht="13.5" customHeight="1" x14ac:dyDescent="0.15">
      <c r="A16" s="561"/>
      <c r="B16" s="562"/>
      <c r="C16" s="543"/>
      <c r="D16" s="542"/>
      <c r="E16" s="542"/>
      <c r="F16" s="542"/>
      <c r="G16" s="542"/>
      <c r="H16" s="542"/>
      <c r="I16" s="539"/>
      <c r="J16" s="542"/>
      <c r="K16" s="542"/>
      <c r="L16" s="542"/>
      <c r="M16" s="542"/>
      <c r="N16" s="542"/>
      <c r="O16" s="554"/>
      <c r="P16" s="543"/>
      <c r="Q16" s="542"/>
      <c r="R16" s="542"/>
      <c r="S16" s="542"/>
      <c r="T16" s="542"/>
      <c r="U16" s="542"/>
      <c r="V16" s="539"/>
      <c r="W16" s="542"/>
      <c r="X16" s="542"/>
      <c r="Y16" s="542"/>
      <c r="Z16" s="542"/>
      <c r="AA16" s="542"/>
      <c r="AB16" s="554"/>
      <c r="AC16" s="543"/>
      <c r="AD16" s="542"/>
      <c r="AE16" s="542"/>
      <c r="AF16" s="542"/>
      <c r="AG16" s="542"/>
      <c r="AH16" s="542"/>
      <c r="AI16" s="539"/>
      <c r="AJ16" s="542"/>
      <c r="AK16" s="542"/>
      <c r="AL16" s="542"/>
      <c r="AM16" s="542"/>
      <c r="AN16" s="542"/>
      <c r="AO16" s="554"/>
      <c r="AP16" s="56"/>
      <c r="AQ16" s="57"/>
      <c r="AR16" s="57"/>
      <c r="AS16" s="57"/>
      <c r="AT16" s="58"/>
    </row>
    <row r="17" spans="1:46" ht="13.5" customHeight="1" x14ac:dyDescent="0.15">
      <c r="A17" s="561"/>
      <c r="B17" s="562"/>
      <c r="C17" s="543"/>
      <c r="D17" s="542"/>
      <c r="E17" s="542"/>
      <c r="F17" s="542"/>
      <c r="G17" s="542"/>
      <c r="H17" s="542"/>
      <c r="I17" s="539" t="s">
        <v>60</v>
      </c>
      <c r="J17" s="542"/>
      <c r="K17" s="542"/>
      <c r="L17" s="542"/>
      <c r="M17" s="542"/>
      <c r="N17" s="542"/>
      <c r="O17" s="554"/>
      <c r="P17" s="543"/>
      <c r="Q17" s="542"/>
      <c r="R17" s="542"/>
      <c r="S17" s="542"/>
      <c r="T17" s="542"/>
      <c r="U17" s="542"/>
      <c r="V17" s="539" t="s">
        <v>60</v>
      </c>
      <c r="W17" s="542"/>
      <c r="X17" s="542"/>
      <c r="Y17" s="542"/>
      <c r="Z17" s="542"/>
      <c r="AA17" s="542"/>
      <c r="AB17" s="554"/>
      <c r="AC17" s="543"/>
      <c r="AD17" s="542"/>
      <c r="AE17" s="542"/>
      <c r="AF17" s="542"/>
      <c r="AG17" s="542"/>
      <c r="AH17" s="542"/>
      <c r="AI17" s="539" t="s">
        <v>60</v>
      </c>
      <c r="AJ17" s="542"/>
      <c r="AK17" s="542"/>
      <c r="AL17" s="542"/>
      <c r="AM17" s="542"/>
      <c r="AN17" s="542"/>
      <c r="AO17" s="554"/>
      <c r="AP17" s="56"/>
      <c r="AQ17" s="57"/>
      <c r="AR17" s="57"/>
      <c r="AS17" s="57"/>
      <c r="AT17" s="58"/>
    </row>
    <row r="18" spans="1:46" ht="13.5" customHeight="1" x14ac:dyDescent="0.15">
      <c r="A18" s="561"/>
      <c r="B18" s="562"/>
      <c r="C18" s="543"/>
      <c r="D18" s="542"/>
      <c r="E18" s="542"/>
      <c r="F18" s="542"/>
      <c r="G18" s="542"/>
      <c r="H18" s="542"/>
      <c r="I18" s="539"/>
      <c r="J18" s="542"/>
      <c r="K18" s="542"/>
      <c r="L18" s="542"/>
      <c r="M18" s="542"/>
      <c r="N18" s="542"/>
      <c r="O18" s="554"/>
      <c r="P18" s="543"/>
      <c r="Q18" s="542"/>
      <c r="R18" s="542"/>
      <c r="S18" s="542"/>
      <c r="T18" s="542"/>
      <c r="U18" s="542"/>
      <c r="V18" s="539"/>
      <c r="W18" s="542"/>
      <c r="X18" s="542"/>
      <c r="Y18" s="542"/>
      <c r="Z18" s="542"/>
      <c r="AA18" s="542"/>
      <c r="AB18" s="554"/>
      <c r="AC18" s="543"/>
      <c r="AD18" s="542"/>
      <c r="AE18" s="542"/>
      <c r="AF18" s="542"/>
      <c r="AG18" s="542"/>
      <c r="AH18" s="542"/>
      <c r="AI18" s="539"/>
      <c r="AJ18" s="542"/>
      <c r="AK18" s="542"/>
      <c r="AL18" s="542"/>
      <c r="AM18" s="542"/>
      <c r="AN18" s="542"/>
      <c r="AO18" s="554"/>
      <c r="AP18" s="56"/>
      <c r="AQ18" s="57"/>
      <c r="AR18" s="57"/>
      <c r="AS18" s="57"/>
      <c r="AT18" s="58"/>
    </row>
    <row r="19" spans="1:46" ht="13.5" customHeight="1" x14ac:dyDescent="0.15">
      <c r="A19" s="561"/>
      <c r="B19" s="562"/>
      <c r="C19" s="537"/>
      <c r="D19" s="538"/>
      <c r="E19" s="538"/>
      <c r="F19" s="538"/>
      <c r="G19" s="538"/>
      <c r="H19" s="538"/>
      <c r="I19" s="540" t="s">
        <v>66</v>
      </c>
      <c r="J19" s="538"/>
      <c r="K19" s="538"/>
      <c r="L19" s="538"/>
      <c r="M19" s="538"/>
      <c r="N19" s="538"/>
      <c r="O19" s="541"/>
      <c r="P19" s="537"/>
      <c r="Q19" s="538"/>
      <c r="R19" s="538"/>
      <c r="S19" s="538"/>
      <c r="T19" s="538"/>
      <c r="U19" s="538"/>
      <c r="V19" s="540" t="s">
        <v>66</v>
      </c>
      <c r="W19" s="538"/>
      <c r="X19" s="538"/>
      <c r="Y19" s="538"/>
      <c r="Z19" s="538"/>
      <c r="AA19" s="538"/>
      <c r="AB19" s="541"/>
      <c r="AC19" s="537"/>
      <c r="AD19" s="538"/>
      <c r="AE19" s="538"/>
      <c r="AF19" s="538"/>
      <c r="AG19" s="538"/>
      <c r="AH19" s="538"/>
      <c r="AI19" s="540" t="s">
        <v>66</v>
      </c>
      <c r="AJ19" s="538"/>
      <c r="AK19" s="538"/>
      <c r="AL19" s="538"/>
      <c r="AM19" s="538"/>
      <c r="AN19" s="538"/>
      <c r="AO19" s="541"/>
      <c r="AP19" s="56"/>
      <c r="AQ19" s="57"/>
      <c r="AR19" s="57"/>
      <c r="AS19" s="57"/>
      <c r="AT19" s="58"/>
    </row>
    <row r="20" spans="1:46" ht="13.5" customHeight="1" x14ac:dyDescent="0.15">
      <c r="A20" s="561"/>
      <c r="B20" s="562"/>
      <c r="C20" s="537"/>
      <c r="D20" s="538"/>
      <c r="E20" s="538"/>
      <c r="F20" s="538"/>
      <c r="G20" s="538"/>
      <c r="H20" s="538"/>
      <c r="I20" s="540"/>
      <c r="J20" s="538"/>
      <c r="K20" s="538"/>
      <c r="L20" s="538"/>
      <c r="M20" s="538"/>
      <c r="N20" s="538"/>
      <c r="O20" s="541"/>
      <c r="P20" s="537"/>
      <c r="Q20" s="538"/>
      <c r="R20" s="538"/>
      <c r="S20" s="538"/>
      <c r="T20" s="538"/>
      <c r="U20" s="538"/>
      <c r="V20" s="540"/>
      <c r="W20" s="538"/>
      <c r="X20" s="538"/>
      <c r="Y20" s="538"/>
      <c r="Z20" s="538"/>
      <c r="AA20" s="538"/>
      <c r="AB20" s="541"/>
      <c r="AC20" s="537"/>
      <c r="AD20" s="538"/>
      <c r="AE20" s="538"/>
      <c r="AF20" s="538"/>
      <c r="AG20" s="538"/>
      <c r="AH20" s="538"/>
      <c r="AI20" s="540"/>
      <c r="AJ20" s="538"/>
      <c r="AK20" s="538"/>
      <c r="AL20" s="538"/>
      <c r="AM20" s="538"/>
      <c r="AN20" s="538"/>
      <c r="AO20" s="541"/>
      <c r="AP20" s="56"/>
      <c r="AQ20" s="57"/>
      <c r="AR20" s="57"/>
      <c r="AS20" s="57"/>
      <c r="AT20" s="58"/>
    </row>
    <row r="21" spans="1:46" ht="13.5" customHeight="1" x14ac:dyDescent="0.15">
      <c r="A21" s="561"/>
      <c r="B21" s="562"/>
      <c r="C21" s="565"/>
      <c r="D21" s="542"/>
      <c r="E21" s="542"/>
      <c r="F21" s="542"/>
      <c r="G21" s="542"/>
      <c r="H21" s="542"/>
      <c r="I21" s="539" t="s">
        <v>62</v>
      </c>
      <c r="J21" s="542"/>
      <c r="K21" s="542"/>
      <c r="L21" s="542"/>
      <c r="M21" s="542"/>
      <c r="N21" s="542"/>
      <c r="O21" s="572"/>
      <c r="P21" s="565"/>
      <c r="Q21" s="542"/>
      <c r="R21" s="542"/>
      <c r="S21" s="542"/>
      <c r="T21" s="542"/>
      <c r="U21" s="542"/>
      <c r="V21" s="539" t="s">
        <v>62</v>
      </c>
      <c r="W21" s="542"/>
      <c r="X21" s="542"/>
      <c r="Y21" s="542"/>
      <c r="Z21" s="542"/>
      <c r="AA21" s="542"/>
      <c r="AB21" s="572"/>
      <c r="AC21" s="565"/>
      <c r="AD21" s="542"/>
      <c r="AE21" s="542"/>
      <c r="AF21" s="542"/>
      <c r="AG21" s="542"/>
      <c r="AH21" s="542"/>
      <c r="AI21" s="539" t="s">
        <v>62</v>
      </c>
      <c r="AJ21" s="542"/>
      <c r="AK21" s="542"/>
      <c r="AL21" s="542"/>
      <c r="AM21" s="542"/>
      <c r="AN21" s="542"/>
      <c r="AO21" s="572"/>
      <c r="AP21" s="56"/>
      <c r="AQ21" s="57"/>
      <c r="AR21" s="57"/>
      <c r="AS21" s="57"/>
      <c r="AT21" s="58"/>
    </row>
    <row r="22" spans="1:46" ht="13.5" customHeight="1" x14ac:dyDescent="0.15">
      <c r="A22" s="561"/>
      <c r="B22" s="562"/>
      <c r="C22" s="565"/>
      <c r="D22" s="542"/>
      <c r="E22" s="542"/>
      <c r="F22" s="542"/>
      <c r="G22" s="542"/>
      <c r="H22" s="542"/>
      <c r="I22" s="539"/>
      <c r="J22" s="542"/>
      <c r="K22" s="542"/>
      <c r="L22" s="542"/>
      <c r="M22" s="542"/>
      <c r="N22" s="542"/>
      <c r="O22" s="572"/>
      <c r="P22" s="565"/>
      <c r="Q22" s="542"/>
      <c r="R22" s="542"/>
      <c r="S22" s="542"/>
      <c r="T22" s="542"/>
      <c r="U22" s="542"/>
      <c r="V22" s="539"/>
      <c r="W22" s="542"/>
      <c r="X22" s="542"/>
      <c r="Y22" s="542"/>
      <c r="Z22" s="542"/>
      <c r="AA22" s="542"/>
      <c r="AB22" s="572"/>
      <c r="AC22" s="565"/>
      <c r="AD22" s="542"/>
      <c r="AE22" s="542"/>
      <c r="AF22" s="542"/>
      <c r="AG22" s="542"/>
      <c r="AH22" s="542"/>
      <c r="AI22" s="539"/>
      <c r="AJ22" s="542"/>
      <c r="AK22" s="542"/>
      <c r="AL22" s="542"/>
      <c r="AM22" s="542"/>
      <c r="AN22" s="542"/>
      <c r="AO22" s="572"/>
      <c r="AP22" s="56"/>
      <c r="AQ22" s="57"/>
      <c r="AR22" s="57"/>
      <c r="AS22" s="57"/>
      <c r="AT22" s="58"/>
    </row>
    <row r="23" spans="1:46" ht="13.5" customHeight="1" x14ac:dyDescent="0.15">
      <c r="A23" s="561"/>
      <c r="B23" s="562"/>
      <c r="C23" s="565"/>
      <c r="D23" s="542"/>
      <c r="E23" s="542"/>
      <c r="F23" s="542"/>
      <c r="G23" s="542"/>
      <c r="H23" s="542"/>
      <c r="I23" s="539"/>
      <c r="J23" s="542"/>
      <c r="K23" s="542"/>
      <c r="L23" s="542"/>
      <c r="M23" s="542"/>
      <c r="N23" s="542"/>
      <c r="O23" s="572"/>
      <c r="P23" s="565"/>
      <c r="Q23" s="542"/>
      <c r="R23" s="542"/>
      <c r="S23" s="542"/>
      <c r="T23" s="542"/>
      <c r="U23" s="542"/>
      <c r="V23" s="539"/>
      <c r="W23" s="542"/>
      <c r="X23" s="542"/>
      <c r="Y23" s="542"/>
      <c r="Z23" s="542"/>
      <c r="AA23" s="542"/>
      <c r="AB23" s="572"/>
      <c r="AC23" s="565"/>
      <c r="AD23" s="542"/>
      <c r="AE23" s="542"/>
      <c r="AF23" s="542"/>
      <c r="AG23" s="542"/>
      <c r="AH23" s="542"/>
      <c r="AI23" s="539"/>
      <c r="AJ23" s="542"/>
      <c r="AK23" s="542"/>
      <c r="AL23" s="542"/>
      <c r="AM23" s="542"/>
      <c r="AN23" s="542"/>
      <c r="AO23" s="572"/>
      <c r="AP23" s="56"/>
      <c r="AQ23" s="57"/>
      <c r="AR23" s="57"/>
      <c r="AS23" s="57"/>
      <c r="AT23" s="58"/>
    </row>
    <row r="24" spans="1:46" ht="13.5" customHeight="1" x14ac:dyDescent="0.15">
      <c r="A24" s="561"/>
      <c r="B24" s="562"/>
      <c r="C24" s="565"/>
      <c r="D24" s="542"/>
      <c r="E24" s="542"/>
      <c r="F24" s="542"/>
      <c r="G24" s="542"/>
      <c r="H24" s="542"/>
      <c r="I24" s="539"/>
      <c r="J24" s="542"/>
      <c r="K24" s="542"/>
      <c r="L24" s="542"/>
      <c r="M24" s="542"/>
      <c r="N24" s="542"/>
      <c r="O24" s="572"/>
      <c r="P24" s="565"/>
      <c r="Q24" s="542"/>
      <c r="R24" s="542"/>
      <c r="S24" s="542"/>
      <c r="T24" s="542"/>
      <c r="U24" s="542"/>
      <c r="V24" s="539"/>
      <c r="W24" s="542"/>
      <c r="X24" s="542"/>
      <c r="Y24" s="542"/>
      <c r="Z24" s="542"/>
      <c r="AA24" s="542"/>
      <c r="AB24" s="572"/>
      <c r="AC24" s="565"/>
      <c r="AD24" s="542"/>
      <c r="AE24" s="542"/>
      <c r="AF24" s="542"/>
      <c r="AG24" s="542"/>
      <c r="AH24" s="542"/>
      <c r="AI24" s="539"/>
      <c r="AJ24" s="542"/>
      <c r="AK24" s="542"/>
      <c r="AL24" s="542"/>
      <c r="AM24" s="542"/>
      <c r="AN24" s="542"/>
      <c r="AO24" s="572"/>
      <c r="AP24" s="56"/>
      <c r="AQ24" s="57"/>
      <c r="AR24" s="57"/>
      <c r="AS24" s="57"/>
      <c r="AT24" s="58"/>
    </row>
    <row r="25" spans="1:46" ht="13.5" customHeight="1" x14ac:dyDescent="0.15">
      <c r="A25" s="561"/>
      <c r="B25" s="562"/>
      <c r="C25" s="565"/>
      <c r="D25" s="542"/>
      <c r="E25" s="542"/>
      <c r="F25" s="542"/>
      <c r="G25" s="542"/>
      <c r="H25" s="542"/>
      <c r="I25" s="539"/>
      <c r="J25" s="542"/>
      <c r="K25" s="542"/>
      <c r="L25" s="542"/>
      <c r="M25" s="542"/>
      <c r="N25" s="542"/>
      <c r="O25" s="572"/>
      <c r="P25" s="565"/>
      <c r="Q25" s="542"/>
      <c r="R25" s="542"/>
      <c r="S25" s="542"/>
      <c r="T25" s="542"/>
      <c r="U25" s="542"/>
      <c r="V25" s="539"/>
      <c r="W25" s="542"/>
      <c r="X25" s="542"/>
      <c r="Y25" s="542"/>
      <c r="Z25" s="542"/>
      <c r="AA25" s="542"/>
      <c r="AB25" s="572"/>
      <c r="AC25" s="565"/>
      <c r="AD25" s="542"/>
      <c r="AE25" s="542"/>
      <c r="AF25" s="542"/>
      <c r="AG25" s="542"/>
      <c r="AH25" s="542"/>
      <c r="AI25" s="539"/>
      <c r="AJ25" s="542"/>
      <c r="AK25" s="542"/>
      <c r="AL25" s="542"/>
      <c r="AM25" s="542"/>
      <c r="AN25" s="542"/>
      <c r="AO25" s="572"/>
      <c r="AP25" s="56"/>
      <c r="AQ25" s="57"/>
      <c r="AR25" s="57"/>
      <c r="AS25" s="57"/>
      <c r="AT25" s="58"/>
    </row>
    <row r="26" spans="1:46" ht="13.5" customHeight="1" x14ac:dyDescent="0.15">
      <c r="A26" s="563"/>
      <c r="B26" s="564"/>
      <c r="C26" s="566"/>
      <c r="D26" s="567"/>
      <c r="E26" s="567"/>
      <c r="F26" s="567"/>
      <c r="G26" s="567"/>
      <c r="H26" s="567"/>
      <c r="I26" s="568"/>
      <c r="J26" s="567"/>
      <c r="K26" s="567"/>
      <c r="L26" s="567"/>
      <c r="M26" s="567"/>
      <c r="N26" s="567"/>
      <c r="O26" s="573"/>
      <c r="P26" s="566"/>
      <c r="Q26" s="567"/>
      <c r="R26" s="567"/>
      <c r="S26" s="567"/>
      <c r="T26" s="567"/>
      <c r="U26" s="567"/>
      <c r="V26" s="568"/>
      <c r="W26" s="567"/>
      <c r="X26" s="567"/>
      <c r="Y26" s="567"/>
      <c r="Z26" s="567"/>
      <c r="AA26" s="567"/>
      <c r="AB26" s="573"/>
      <c r="AC26" s="566"/>
      <c r="AD26" s="567"/>
      <c r="AE26" s="567"/>
      <c r="AF26" s="567"/>
      <c r="AG26" s="567"/>
      <c r="AH26" s="567"/>
      <c r="AI26" s="568"/>
      <c r="AJ26" s="567"/>
      <c r="AK26" s="567"/>
      <c r="AL26" s="567"/>
      <c r="AM26" s="567"/>
      <c r="AN26" s="567"/>
      <c r="AO26" s="573"/>
      <c r="AP26" s="56"/>
      <c r="AQ26" s="57"/>
      <c r="AR26" s="57"/>
      <c r="AS26" s="57"/>
      <c r="AT26" s="58"/>
    </row>
    <row r="27" spans="1:46" ht="13.5" customHeight="1" x14ac:dyDescent="0.15">
      <c r="A27" s="559" t="str">
        <f>'5チーム2回戦総当たりスケジュール作業表'!$Q$1&amp;"コート"</f>
        <v>東コート</v>
      </c>
      <c r="B27" s="560"/>
      <c r="C27" s="569">
        <f>VLOOKUP($A$2,'5チーム2回戦総当たりスケジュール作業表'!$A$6:$R$25,5)</f>
        <v>0</v>
      </c>
      <c r="D27" s="570"/>
      <c r="E27" s="570"/>
      <c r="F27" s="570"/>
      <c r="G27" s="570"/>
      <c r="H27" s="570"/>
      <c r="I27" s="571" t="s">
        <v>63</v>
      </c>
      <c r="J27" s="570">
        <f>VLOOKUP($A$2,'5チーム2回戦総当たりスケジュール作業表'!$A$6:$R$25,6)</f>
        <v>0</v>
      </c>
      <c r="K27" s="570"/>
      <c r="L27" s="570"/>
      <c r="M27" s="570"/>
      <c r="N27" s="570"/>
      <c r="O27" s="580"/>
      <c r="P27" s="569">
        <f>VLOOKUP($A$2,'5チーム2回戦総当たりスケジュール作業表'!$A$6:$R$25,9)</f>
        <v>0</v>
      </c>
      <c r="Q27" s="570"/>
      <c r="R27" s="570"/>
      <c r="S27" s="570"/>
      <c r="T27" s="570"/>
      <c r="U27" s="570"/>
      <c r="V27" s="571" t="s">
        <v>63</v>
      </c>
      <c r="W27" s="570">
        <f>VLOOKUP($A$2,'5チーム2回戦総当たりスケジュール作業表'!$A$6:$R$25,10)</f>
        <v>0</v>
      </c>
      <c r="X27" s="570"/>
      <c r="Y27" s="570"/>
      <c r="Z27" s="570"/>
      <c r="AA27" s="570"/>
      <c r="AB27" s="580"/>
      <c r="AC27" s="569" t="str">
        <f>IF(AJ27=0,"",VLOOKUP($A$2,'5チーム2回戦総当たりスケジュール作業表'!$A$6:$R$25,13))</f>
        <v/>
      </c>
      <c r="AD27" s="570"/>
      <c r="AE27" s="570"/>
      <c r="AF27" s="570"/>
      <c r="AG27" s="570"/>
      <c r="AH27" s="570"/>
      <c r="AI27" s="571" t="s">
        <v>63</v>
      </c>
      <c r="AJ27" s="570">
        <f>VLOOKUP($A$2,'5チーム2回戦総当たりスケジュール作業表'!$A$6:$R$25,14)</f>
        <v>0</v>
      </c>
      <c r="AK27" s="570"/>
      <c r="AL27" s="570"/>
      <c r="AM27" s="570"/>
      <c r="AN27" s="570"/>
      <c r="AO27" s="580"/>
      <c r="AP27" s="56"/>
      <c r="AQ27" s="57"/>
      <c r="AR27" s="57"/>
      <c r="AS27" s="57"/>
      <c r="AT27" s="58"/>
    </row>
    <row r="28" spans="1:46" ht="13.5" customHeight="1" x14ac:dyDescent="0.15">
      <c r="A28" s="561"/>
      <c r="B28" s="562"/>
      <c r="C28" s="549"/>
      <c r="D28" s="546"/>
      <c r="E28" s="546"/>
      <c r="F28" s="546"/>
      <c r="G28" s="546"/>
      <c r="H28" s="546"/>
      <c r="I28" s="551"/>
      <c r="J28" s="546"/>
      <c r="K28" s="546"/>
      <c r="L28" s="546"/>
      <c r="M28" s="546"/>
      <c r="N28" s="546"/>
      <c r="O28" s="547"/>
      <c r="P28" s="549"/>
      <c r="Q28" s="546"/>
      <c r="R28" s="546"/>
      <c r="S28" s="546"/>
      <c r="T28" s="546"/>
      <c r="U28" s="546"/>
      <c r="V28" s="551"/>
      <c r="W28" s="546"/>
      <c r="X28" s="546"/>
      <c r="Y28" s="546"/>
      <c r="Z28" s="546"/>
      <c r="AA28" s="546"/>
      <c r="AB28" s="547"/>
      <c r="AC28" s="549"/>
      <c r="AD28" s="546"/>
      <c r="AE28" s="546"/>
      <c r="AF28" s="546"/>
      <c r="AG28" s="546"/>
      <c r="AH28" s="546"/>
      <c r="AI28" s="551"/>
      <c r="AJ28" s="546"/>
      <c r="AK28" s="546"/>
      <c r="AL28" s="546"/>
      <c r="AM28" s="546"/>
      <c r="AN28" s="546"/>
      <c r="AO28" s="547"/>
      <c r="AP28" s="56"/>
      <c r="AQ28" s="57"/>
      <c r="AR28" s="57"/>
      <c r="AS28" s="57"/>
      <c r="AT28" s="58"/>
    </row>
    <row r="29" spans="1:46" ht="13.5" customHeight="1" x14ac:dyDescent="0.15">
      <c r="A29" s="561"/>
      <c r="B29" s="562"/>
      <c r="C29" s="552" t="s">
        <v>27</v>
      </c>
      <c r="D29" s="555"/>
      <c r="E29" s="555"/>
      <c r="F29" s="555"/>
      <c r="G29" s="555"/>
      <c r="H29" s="555"/>
      <c r="I29" s="581" t="s">
        <v>58</v>
      </c>
      <c r="J29" s="555"/>
      <c r="K29" s="555"/>
      <c r="L29" s="555"/>
      <c r="M29" s="555"/>
      <c r="N29" s="555"/>
      <c r="O29" s="553" t="s">
        <v>27</v>
      </c>
      <c r="P29" s="552" t="s">
        <v>27</v>
      </c>
      <c r="Q29" s="555"/>
      <c r="R29" s="555"/>
      <c r="S29" s="555"/>
      <c r="T29" s="555"/>
      <c r="U29" s="555"/>
      <c r="V29" s="581" t="s">
        <v>58</v>
      </c>
      <c r="W29" s="555"/>
      <c r="X29" s="555"/>
      <c r="Y29" s="555"/>
      <c r="Z29" s="555"/>
      <c r="AA29" s="555"/>
      <c r="AB29" s="553" t="s">
        <v>27</v>
      </c>
      <c r="AC29" s="552" t="s">
        <v>27</v>
      </c>
      <c r="AD29" s="555"/>
      <c r="AE29" s="555"/>
      <c r="AF29" s="555"/>
      <c r="AG29" s="555"/>
      <c r="AH29" s="555"/>
      <c r="AI29" s="581" t="s">
        <v>58</v>
      </c>
      <c r="AJ29" s="555"/>
      <c r="AK29" s="555"/>
      <c r="AL29" s="555"/>
      <c r="AM29" s="555"/>
      <c r="AN29" s="555"/>
      <c r="AO29" s="583" t="s">
        <v>27</v>
      </c>
      <c r="AP29" s="56"/>
      <c r="AQ29" s="57"/>
      <c r="AR29" s="57"/>
      <c r="AS29" s="57"/>
      <c r="AT29" s="58"/>
    </row>
    <row r="30" spans="1:46" ht="13.5" customHeight="1" x14ac:dyDescent="0.15">
      <c r="A30" s="561"/>
      <c r="B30" s="562"/>
      <c r="C30" s="543"/>
      <c r="D30" s="542"/>
      <c r="E30" s="542"/>
      <c r="F30" s="542"/>
      <c r="G30" s="542"/>
      <c r="H30" s="542"/>
      <c r="I30" s="539"/>
      <c r="J30" s="542"/>
      <c r="K30" s="542"/>
      <c r="L30" s="542"/>
      <c r="M30" s="542"/>
      <c r="N30" s="542"/>
      <c r="O30" s="554"/>
      <c r="P30" s="543"/>
      <c r="Q30" s="542"/>
      <c r="R30" s="542"/>
      <c r="S30" s="542"/>
      <c r="T30" s="542"/>
      <c r="U30" s="542"/>
      <c r="V30" s="539"/>
      <c r="W30" s="542"/>
      <c r="X30" s="542"/>
      <c r="Y30" s="542"/>
      <c r="Z30" s="542"/>
      <c r="AA30" s="542"/>
      <c r="AB30" s="554"/>
      <c r="AC30" s="543"/>
      <c r="AD30" s="542"/>
      <c r="AE30" s="542"/>
      <c r="AF30" s="542"/>
      <c r="AG30" s="542"/>
      <c r="AH30" s="542"/>
      <c r="AI30" s="539"/>
      <c r="AJ30" s="542"/>
      <c r="AK30" s="542"/>
      <c r="AL30" s="542"/>
      <c r="AM30" s="542"/>
      <c r="AN30" s="542"/>
      <c r="AO30" s="582"/>
      <c r="AP30" s="56"/>
      <c r="AQ30" s="57"/>
      <c r="AR30" s="57"/>
      <c r="AS30" s="57"/>
      <c r="AT30" s="58"/>
    </row>
    <row r="31" spans="1:46" ht="13.5" customHeight="1" x14ac:dyDescent="0.15">
      <c r="A31" s="561"/>
      <c r="B31" s="562"/>
      <c r="C31" s="543"/>
      <c r="D31" s="542"/>
      <c r="E31" s="542"/>
      <c r="F31" s="542"/>
      <c r="G31" s="542"/>
      <c r="H31" s="542"/>
      <c r="I31" s="539" t="s">
        <v>60</v>
      </c>
      <c r="J31" s="542"/>
      <c r="K31" s="542"/>
      <c r="L31" s="542"/>
      <c r="M31" s="542"/>
      <c r="N31" s="542"/>
      <c r="O31" s="554"/>
      <c r="P31" s="543"/>
      <c r="Q31" s="542"/>
      <c r="R31" s="542"/>
      <c r="S31" s="542"/>
      <c r="T31" s="542"/>
      <c r="U31" s="542"/>
      <c r="V31" s="539" t="s">
        <v>60</v>
      </c>
      <c r="W31" s="542"/>
      <c r="X31" s="542"/>
      <c r="Y31" s="542"/>
      <c r="Z31" s="542"/>
      <c r="AA31" s="542"/>
      <c r="AB31" s="554"/>
      <c r="AC31" s="543"/>
      <c r="AD31" s="542"/>
      <c r="AE31" s="542"/>
      <c r="AF31" s="542"/>
      <c r="AG31" s="542"/>
      <c r="AH31" s="542"/>
      <c r="AI31" s="539" t="s">
        <v>60</v>
      </c>
      <c r="AJ31" s="542"/>
      <c r="AK31" s="542"/>
      <c r="AL31" s="542"/>
      <c r="AM31" s="542"/>
      <c r="AN31" s="542"/>
      <c r="AO31" s="582"/>
      <c r="AP31" s="56"/>
      <c r="AQ31" s="57"/>
      <c r="AR31" s="57"/>
      <c r="AS31" s="57"/>
      <c r="AT31" s="58"/>
    </row>
    <row r="32" spans="1:46" ht="13.5" customHeight="1" x14ac:dyDescent="0.15">
      <c r="A32" s="561"/>
      <c r="B32" s="562"/>
      <c r="C32" s="543"/>
      <c r="D32" s="542"/>
      <c r="E32" s="542"/>
      <c r="F32" s="542"/>
      <c r="G32" s="542"/>
      <c r="H32" s="542"/>
      <c r="I32" s="539"/>
      <c r="J32" s="542"/>
      <c r="K32" s="542"/>
      <c r="L32" s="542"/>
      <c r="M32" s="542"/>
      <c r="N32" s="542"/>
      <c r="O32" s="554"/>
      <c r="P32" s="543"/>
      <c r="Q32" s="542"/>
      <c r="R32" s="542"/>
      <c r="S32" s="542"/>
      <c r="T32" s="542"/>
      <c r="U32" s="542"/>
      <c r="V32" s="539"/>
      <c r="W32" s="542"/>
      <c r="X32" s="542"/>
      <c r="Y32" s="542"/>
      <c r="Z32" s="542"/>
      <c r="AA32" s="542"/>
      <c r="AB32" s="554"/>
      <c r="AC32" s="543"/>
      <c r="AD32" s="542"/>
      <c r="AE32" s="542"/>
      <c r="AF32" s="542"/>
      <c r="AG32" s="542"/>
      <c r="AH32" s="542"/>
      <c r="AI32" s="539"/>
      <c r="AJ32" s="542"/>
      <c r="AK32" s="542"/>
      <c r="AL32" s="542"/>
      <c r="AM32" s="542"/>
      <c r="AN32" s="542"/>
      <c r="AO32" s="582"/>
      <c r="AP32" s="56"/>
      <c r="AQ32" s="57"/>
      <c r="AR32" s="57"/>
      <c r="AS32" s="57"/>
      <c r="AT32" s="58"/>
    </row>
    <row r="33" spans="1:46" ht="13.5" customHeight="1" x14ac:dyDescent="0.15">
      <c r="A33" s="561"/>
      <c r="B33" s="562"/>
      <c r="C33" s="543" t="s">
        <v>65</v>
      </c>
      <c r="D33" s="542"/>
      <c r="E33" s="542"/>
      <c r="F33" s="542"/>
      <c r="G33" s="542"/>
      <c r="H33" s="542"/>
      <c r="I33" s="539" t="s">
        <v>58</v>
      </c>
      <c r="J33" s="542"/>
      <c r="K33" s="542"/>
      <c r="L33" s="542"/>
      <c r="M33" s="542"/>
      <c r="N33" s="542"/>
      <c r="O33" s="554" t="s">
        <v>65</v>
      </c>
      <c r="P33" s="543" t="s">
        <v>65</v>
      </c>
      <c r="Q33" s="542"/>
      <c r="R33" s="542"/>
      <c r="S33" s="542"/>
      <c r="T33" s="542"/>
      <c r="U33" s="542"/>
      <c r="V33" s="539" t="s">
        <v>58</v>
      </c>
      <c r="W33" s="542"/>
      <c r="X33" s="542"/>
      <c r="Y33" s="542"/>
      <c r="Z33" s="542"/>
      <c r="AA33" s="542"/>
      <c r="AB33" s="554" t="s">
        <v>65</v>
      </c>
      <c r="AC33" s="543" t="s">
        <v>65</v>
      </c>
      <c r="AD33" s="542"/>
      <c r="AE33" s="542"/>
      <c r="AF33" s="542"/>
      <c r="AG33" s="542"/>
      <c r="AH33" s="542"/>
      <c r="AI33" s="539" t="s">
        <v>58</v>
      </c>
      <c r="AJ33" s="542"/>
      <c r="AK33" s="542"/>
      <c r="AL33" s="542"/>
      <c r="AM33" s="542"/>
      <c r="AN33" s="542"/>
      <c r="AO33" s="582" t="s">
        <v>65</v>
      </c>
      <c r="AP33" s="56"/>
      <c r="AQ33" s="57"/>
      <c r="AR33" s="57"/>
      <c r="AS33" s="57"/>
      <c r="AT33" s="58"/>
    </row>
    <row r="34" spans="1:46" ht="13.5" customHeight="1" x14ac:dyDescent="0.15">
      <c r="A34" s="561"/>
      <c r="B34" s="562"/>
      <c r="C34" s="543"/>
      <c r="D34" s="542"/>
      <c r="E34" s="542"/>
      <c r="F34" s="542"/>
      <c r="G34" s="542"/>
      <c r="H34" s="542"/>
      <c r="I34" s="539"/>
      <c r="J34" s="542"/>
      <c r="K34" s="542"/>
      <c r="L34" s="542"/>
      <c r="M34" s="542"/>
      <c r="N34" s="542"/>
      <c r="O34" s="554"/>
      <c r="P34" s="543"/>
      <c r="Q34" s="542"/>
      <c r="R34" s="542"/>
      <c r="S34" s="542"/>
      <c r="T34" s="542"/>
      <c r="U34" s="542"/>
      <c r="V34" s="539"/>
      <c r="W34" s="542"/>
      <c r="X34" s="542"/>
      <c r="Y34" s="542"/>
      <c r="Z34" s="542"/>
      <c r="AA34" s="542"/>
      <c r="AB34" s="554"/>
      <c r="AC34" s="543"/>
      <c r="AD34" s="542"/>
      <c r="AE34" s="542"/>
      <c r="AF34" s="542"/>
      <c r="AG34" s="542"/>
      <c r="AH34" s="542"/>
      <c r="AI34" s="539"/>
      <c r="AJ34" s="542"/>
      <c r="AK34" s="542"/>
      <c r="AL34" s="542"/>
      <c r="AM34" s="542"/>
      <c r="AN34" s="542"/>
      <c r="AO34" s="582"/>
      <c r="AP34" s="56"/>
      <c r="AQ34" s="57"/>
      <c r="AR34" s="57"/>
      <c r="AS34" s="57"/>
      <c r="AT34" s="58"/>
    </row>
    <row r="35" spans="1:46" ht="13.5" customHeight="1" x14ac:dyDescent="0.15">
      <c r="A35" s="561"/>
      <c r="B35" s="562"/>
      <c r="C35" s="543"/>
      <c r="D35" s="542"/>
      <c r="E35" s="542"/>
      <c r="F35" s="542"/>
      <c r="G35" s="542"/>
      <c r="H35" s="542"/>
      <c r="I35" s="539" t="s">
        <v>60</v>
      </c>
      <c r="J35" s="542"/>
      <c r="K35" s="542"/>
      <c r="L35" s="542"/>
      <c r="M35" s="542"/>
      <c r="N35" s="542"/>
      <c r="O35" s="554"/>
      <c r="P35" s="543"/>
      <c r="Q35" s="542"/>
      <c r="R35" s="542"/>
      <c r="S35" s="542"/>
      <c r="T35" s="542"/>
      <c r="U35" s="542"/>
      <c r="V35" s="539" t="s">
        <v>60</v>
      </c>
      <c r="W35" s="542"/>
      <c r="X35" s="542"/>
      <c r="Y35" s="542"/>
      <c r="Z35" s="542"/>
      <c r="AA35" s="542"/>
      <c r="AB35" s="554"/>
      <c r="AC35" s="543"/>
      <c r="AD35" s="542"/>
      <c r="AE35" s="542"/>
      <c r="AF35" s="542"/>
      <c r="AG35" s="542"/>
      <c r="AH35" s="542"/>
      <c r="AI35" s="539" t="s">
        <v>60</v>
      </c>
      <c r="AJ35" s="542"/>
      <c r="AK35" s="542"/>
      <c r="AL35" s="542"/>
      <c r="AM35" s="542"/>
      <c r="AN35" s="542"/>
      <c r="AO35" s="582"/>
      <c r="AP35" s="56"/>
      <c r="AQ35" s="57"/>
      <c r="AR35" s="57"/>
      <c r="AS35" s="57"/>
      <c r="AT35" s="58"/>
    </row>
    <row r="36" spans="1:46" ht="13.5" customHeight="1" x14ac:dyDescent="0.15">
      <c r="A36" s="561"/>
      <c r="B36" s="562"/>
      <c r="C36" s="543"/>
      <c r="D36" s="542"/>
      <c r="E36" s="542"/>
      <c r="F36" s="542"/>
      <c r="G36" s="542"/>
      <c r="H36" s="542"/>
      <c r="I36" s="539"/>
      <c r="J36" s="542"/>
      <c r="K36" s="542"/>
      <c r="L36" s="542"/>
      <c r="M36" s="542"/>
      <c r="N36" s="542"/>
      <c r="O36" s="554"/>
      <c r="P36" s="543"/>
      <c r="Q36" s="542"/>
      <c r="R36" s="542"/>
      <c r="S36" s="542"/>
      <c r="T36" s="542"/>
      <c r="U36" s="542"/>
      <c r="V36" s="539"/>
      <c r="W36" s="542"/>
      <c r="X36" s="542"/>
      <c r="Y36" s="542"/>
      <c r="Z36" s="542"/>
      <c r="AA36" s="542"/>
      <c r="AB36" s="554"/>
      <c r="AC36" s="543"/>
      <c r="AD36" s="542"/>
      <c r="AE36" s="542"/>
      <c r="AF36" s="542"/>
      <c r="AG36" s="542"/>
      <c r="AH36" s="542"/>
      <c r="AI36" s="539"/>
      <c r="AJ36" s="542"/>
      <c r="AK36" s="542"/>
      <c r="AL36" s="542"/>
      <c r="AM36" s="542"/>
      <c r="AN36" s="542"/>
      <c r="AO36" s="582"/>
      <c r="AP36" s="56"/>
      <c r="AQ36" s="57"/>
      <c r="AR36" s="57"/>
      <c r="AS36" s="57"/>
      <c r="AT36" s="58"/>
    </row>
    <row r="37" spans="1:46" ht="13.5" customHeight="1" x14ac:dyDescent="0.15">
      <c r="A37" s="561"/>
      <c r="B37" s="562"/>
      <c r="C37" s="543" t="s">
        <v>61</v>
      </c>
      <c r="D37" s="542"/>
      <c r="E37" s="542"/>
      <c r="F37" s="542"/>
      <c r="G37" s="542"/>
      <c r="H37" s="542"/>
      <c r="I37" s="539" t="s">
        <v>58</v>
      </c>
      <c r="J37" s="542"/>
      <c r="K37" s="542"/>
      <c r="L37" s="542"/>
      <c r="M37" s="542"/>
      <c r="N37" s="542"/>
      <c r="O37" s="554" t="s">
        <v>61</v>
      </c>
      <c r="P37" s="543" t="s">
        <v>61</v>
      </c>
      <c r="Q37" s="542"/>
      <c r="R37" s="542"/>
      <c r="S37" s="542"/>
      <c r="T37" s="542"/>
      <c r="U37" s="542"/>
      <c r="V37" s="539" t="s">
        <v>58</v>
      </c>
      <c r="W37" s="542"/>
      <c r="X37" s="542"/>
      <c r="Y37" s="542"/>
      <c r="Z37" s="542"/>
      <c r="AA37" s="542"/>
      <c r="AB37" s="554" t="s">
        <v>61</v>
      </c>
      <c r="AC37" s="543" t="s">
        <v>61</v>
      </c>
      <c r="AD37" s="542"/>
      <c r="AE37" s="542"/>
      <c r="AF37" s="542"/>
      <c r="AG37" s="542"/>
      <c r="AH37" s="542"/>
      <c r="AI37" s="539" t="s">
        <v>58</v>
      </c>
      <c r="AJ37" s="542"/>
      <c r="AK37" s="542"/>
      <c r="AL37" s="542"/>
      <c r="AM37" s="542"/>
      <c r="AN37" s="542"/>
      <c r="AO37" s="582" t="s">
        <v>61</v>
      </c>
      <c r="AP37" s="56"/>
      <c r="AQ37" s="57"/>
      <c r="AR37" s="57"/>
      <c r="AS37" s="57"/>
      <c r="AT37" s="58"/>
    </row>
    <row r="38" spans="1:46" ht="13.5" customHeight="1" x14ac:dyDescent="0.15">
      <c r="A38" s="561"/>
      <c r="B38" s="562"/>
      <c r="C38" s="543"/>
      <c r="D38" s="542"/>
      <c r="E38" s="542"/>
      <c r="F38" s="542"/>
      <c r="G38" s="542"/>
      <c r="H38" s="542"/>
      <c r="I38" s="539"/>
      <c r="J38" s="542"/>
      <c r="K38" s="542"/>
      <c r="L38" s="542"/>
      <c r="M38" s="542"/>
      <c r="N38" s="542"/>
      <c r="O38" s="554"/>
      <c r="P38" s="543"/>
      <c r="Q38" s="542"/>
      <c r="R38" s="542"/>
      <c r="S38" s="542"/>
      <c r="T38" s="542"/>
      <c r="U38" s="542"/>
      <c r="V38" s="539"/>
      <c r="W38" s="542"/>
      <c r="X38" s="542"/>
      <c r="Y38" s="542"/>
      <c r="Z38" s="542"/>
      <c r="AA38" s="542"/>
      <c r="AB38" s="554"/>
      <c r="AC38" s="543"/>
      <c r="AD38" s="542"/>
      <c r="AE38" s="542"/>
      <c r="AF38" s="542"/>
      <c r="AG38" s="542"/>
      <c r="AH38" s="542"/>
      <c r="AI38" s="539"/>
      <c r="AJ38" s="542"/>
      <c r="AK38" s="542"/>
      <c r="AL38" s="542"/>
      <c r="AM38" s="542"/>
      <c r="AN38" s="542"/>
      <c r="AO38" s="582"/>
      <c r="AP38" s="56"/>
      <c r="AQ38" s="57"/>
      <c r="AR38" s="57"/>
      <c r="AS38" s="57"/>
      <c r="AT38" s="58"/>
    </row>
    <row r="39" spans="1:46" ht="13.5" customHeight="1" x14ac:dyDescent="0.15">
      <c r="A39" s="561"/>
      <c r="B39" s="562"/>
      <c r="C39" s="543"/>
      <c r="D39" s="542"/>
      <c r="E39" s="542"/>
      <c r="F39" s="542"/>
      <c r="G39" s="542"/>
      <c r="H39" s="542"/>
      <c r="I39" s="539" t="s">
        <v>60</v>
      </c>
      <c r="J39" s="542"/>
      <c r="K39" s="542"/>
      <c r="L39" s="542"/>
      <c r="M39" s="542"/>
      <c r="N39" s="542"/>
      <c r="O39" s="554"/>
      <c r="P39" s="543"/>
      <c r="Q39" s="542"/>
      <c r="R39" s="542"/>
      <c r="S39" s="542"/>
      <c r="T39" s="542"/>
      <c r="U39" s="542"/>
      <c r="V39" s="539" t="s">
        <v>60</v>
      </c>
      <c r="W39" s="542"/>
      <c r="X39" s="542"/>
      <c r="Y39" s="542"/>
      <c r="Z39" s="542"/>
      <c r="AA39" s="542"/>
      <c r="AB39" s="554"/>
      <c r="AC39" s="543"/>
      <c r="AD39" s="542"/>
      <c r="AE39" s="542"/>
      <c r="AF39" s="542"/>
      <c r="AG39" s="542"/>
      <c r="AH39" s="542"/>
      <c r="AI39" s="539" t="s">
        <v>60</v>
      </c>
      <c r="AJ39" s="542"/>
      <c r="AK39" s="542"/>
      <c r="AL39" s="542"/>
      <c r="AM39" s="542"/>
      <c r="AN39" s="542"/>
      <c r="AO39" s="582"/>
      <c r="AP39" s="56"/>
      <c r="AQ39" s="57"/>
      <c r="AR39" s="57"/>
      <c r="AS39" s="57"/>
      <c r="AT39" s="58"/>
    </row>
    <row r="40" spans="1:46" ht="13.5" customHeight="1" x14ac:dyDescent="0.15">
      <c r="A40" s="561"/>
      <c r="B40" s="562"/>
      <c r="C40" s="543"/>
      <c r="D40" s="542"/>
      <c r="E40" s="542"/>
      <c r="F40" s="542"/>
      <c r="G40" s="542"/>
      <c r="H40" s="542"/>
      <c r="I40" s="539"/>
      <c r="J40" s="542"/>
      <c r="K40" s="542"/>
      <c r="L40" s="542"/>
      <c r="M40" s="542"/>
      <c r="N40" s="542"/>
      <c r="O40" s="554"/>
      <c r="P40" s="543"/>
      <c r="Q40" s="542"/>
      <c r="R40" s="542"/>
      <c r="S40" s="542"/>
      <c r="T40" s="542"/>
      <c r="U40" s="542"/>
      <c r="V40" s="539"/>
      <c r="W40" s="542"/>
      <c r="X40" s="542"/>
      <c r="Y40" s="542"/>
      <c r="Z40" s="542"/>
      <c r="AA40" s="542"/>
      <c r="AB40" s="554"/>
      <c r="AC40" s="543"/>
      <c r="AD40" s="542"/>
      <c r="AE40" s="542"/>
      <c r="AF40" s="542"/>
      <c r="AG40" s="542"/>
      <c r="AH40" s="542"/>
      <c r="AI40" s="539"/>
      <c r="AJ40" s="542"/>
      <c r="AK40" s="542"/>
      <c r="AL40" s="542"/>
      <c r="AM40" s="542"/>
      <c r="AN40" s="542"/>
      <c r="AO40" s="582"/>
      <c r="AP40" s="56"/>
      <c r="AQ40" s="57"/>
      <c r="AR40" s="57"/>
      <c r="AS40" s="57"/>
      <c r="AT40" s="58"/>
    </row>
    <row r="41" spans="1:46" ht="13.5" customHeight="1" x14ac:dyDescent="0.15">
      <c r="A41" s="561"/>
      <c r="B41" s="562"/>
      <c r="C41" s="537"/>
      <c r="D41" s="538"/>
      <c r="E41" s="538"/>
      <c r="F41" s="538"/>
      <c r="G41" s="538"/>
      <c r="H41" s="538"/>
      <c r="I41" s="540" t="s">
        <v>66</v>
      </c>
      <c r="J41" s="538"/>
      <c r="K41" s="538"/>
      <c r="L41" s="538"/>
      <c r="M41" s="538"/>
      <c r="N41" s="538"/>
      <c r="O41" s="541"/>
      <c r="P41" s="537"/>
      <c r="Q41" s="538"/>
      <c r="R41" s="538"/>
      <c r="S41" s="538"/>
      <c r="T41" s="538"/>
      <c r="U41" s="538"/>
      <c r="V41" s="540" t="s">
        <v>66</v>
      </c>
      <c r="W41" s="538"/>
      <c r="X41" s="538"/>
      <c r="Y41" s="538"/>
      <c r="Z41" s="538"/>
      <c r="AA41" s="538"/>
      <c r="AB41" s="541"/>
      <c r="AC41" s="537"/>
      <c r="AD41" s="538"/>
      <c r="AE41" s="538"/>
      <c r="AF41" s="538"/>
      <c r="AG41" s="538"/>
      <c r="AH41" s="538"/>
      <c r="AI41" s="540" t="s">
        <v>66</v>
      </c>
      <c r="AJ41" s="538"/>
      <c r="AK41" s="538"/>
      <c r="AL41" s="538"/>
      <c r="AM41" s="538"/>
      <c r="AN41" s="538"/>
      <c r="AO41" s="541"/>
      <c r="AP41" s="56"/>
      <c r="AQ41" s="57"/>
      <c r="AR41" s="57"/>
      <c r="AS41" s="57"/>
      <c r="AT41" s="58"/>
    </row>
    <row r="42" spans="1:46" ht="13.5" customHeight="1" x14ac:dyDescent="0.15">
      <c r="A42" s="561"/>
      <c r="B42" s="562"/>
      <c r="C42" s="537"/>
      <c r="D42" s="538"/>
      <c r="E42" s="538"/>
      <c r="F42" s="538"/>
      <c r="G42" s="538"/>
      <c r="H42" s="538"/>
      <c r="I42" s="540"/>
      <c r="J42" s="538"/>
      <c r="K42" s="538"/>
      <c r="L42" s="538"/>
      <c r="M42" s="538"/>
      <c r="N42" s="538"/>
      <c r="O42" s="541"/>
      <c r="P42" s="537"/>
      <c r="Q42" s="538"/>
      <c r="R42" s="538"/>
      <c r="S42" s="538"/>
      <c r="T42" s="538"/>
      <c r="U42" s="538"/>
      <c r="V42" s="540"/>
      <c r="W42" s="538"/>
      <c r="X42" s="538"/>
      <c r="Y42" s="538"/>
      <c r="Z42" s="538"/>
      <c r="AA42" s="538"/>
      <c r="AB42" s="541"/>
      <c r="AC42" s="537"/>
      <c r="AD42" s="538"/>
      <c r="AE42" s="538"/>
      <c r="AF42" s="538"/>
      <c r="AG42" s="538"/>
      <c r="AH42" s="538"/>
      <c r="AI42" s="540"/>
      <c r="AJ42" s="538"/>
      <c r="AK42" s="538"/>
      <c r="AL42" s="538"/>
      <c r="AM42" s="538"/>
      <c r="AN42" s="538"/>
      <c r="AO42" s="541"/>
      <c r="AP42" s="56"/>
      <c r="AQ42" s="57"/>
      <c r="AR42" s="57"/>
      <c r="AS42" s="57"/>
      <c r="AT42" s="58"/>
    </row>
    <row r="43" spans="1:46" ht="13.5" customHeight="1" x14ac:dyDescent="0.15">
      <c r="A43" s="561"/>
      <c r="B43" s="562"/>
      <c r="C43" s="565"/>
      <c r="D43" s="542"/>
      <c r="E43" s="542"/>
      <c r="F43" s="542"/>
      <c r="G43" s="542"/>
      <c r="H43" s="542"/>
      <c r="I43" s="539" t="s">
        <v>62</v>
      </c>
      <c r="J43" s="542"/>
      <c r="K43" s="542"/>
      <c r="L43" s="542"/>
      <c r="M43" s="542"/>
      <c r="N43" s="542"/>
      <c r="O43" s="572"/>
      <c r="P43" s="565"/>
      <c r="Q43" s="542"/>
      <c r="R43" s="542"/>
      <c r="S43" s="542"/>
      <c r="T43" s="542"/>
      <c r="U43" s="542"/>
      <c r="V43" s="539" t="s">
        <v>62</v>
      </c>
      <c r="W43" s="542"/>
      <c r="X43" s="542"/>
      <c r="Y43" s="542"/>
      <c r="Z43" s="542"/>
      <c r="AA43" s="542"/>
      <c r="AB43" s="572"/>
      <c r="AC43" s="565"/>
      <c r="AD43" s="542"/>
      <c r="AE43" s="542"/>
      <c r="AF43" s="542"/>
      <c r="AG43" s="542"/>
      <c r="AH43" s="542"/>
      <c r="AI43" s="539" t="s">
        <v>62</v>
      </c>
      <c r="AJ43" s="542"/>
      <c r="AK43" s="542"/>
      <c r="AL43" s="542"/>
      <c r="AM43" s="542"/>
      <c r="AN43" s="542"/>
      <c r="AO43" s="596"/>
      <c r="AP43" s="56"/>
      <c r="AQ43" s="57"/>
      <c r="AR43" s="57"/>
      <c r="AS43" s="57"/>
      <c r="AT43" s="58"/>
    </row>
    <row r="44" spans="1:46" ht="13.5" customHeight="1" x14ac:dyDescent="0.15">
      <c r="A44" s="561"/>
      <c r="B44" s="562"/>
      <c r="C44" s="565"/>
      <c r="D44" s="542"/>
      <c r="E44" s="542"/>
      <c r="F44" s="542"/>
      <c r="G44" s="542"/>
      <c r="H44" s="542"/>
      <c r="I44" s="539"/>
      <c r="J44" s="542"/>
      <c r="K44" s="542"/>
      <c r="L44" s="542"/>
      <c r="M44" s="542"/>
      <c r="N44" s="542"/>
      <c r="O44" s="572"/>
      <c r="P44" s="565"/>
      <c r="Q44" s="542"/>
      <c r="R44" s="542"/>
      <c r="S44" s="542"/>
      <c r="T44" s="542"/>
      <c r="U44" s="542"/>
      <c r="V44" s="539"/>
      <c r="W44" s="542"/>
      <c r="X44" s="542"/>
      <c r="Y44" s="542"/>
      <c r="Z44" s="542"/>
      <c r="AA44" s="542"/>
      <c r="AB44" s="572"/>
      <c r="AC44" s="565"/>
      <c r="AD44" s="542"/>
      <c r="AE44" s="542"/>
      <c r="AF44" s="542"/>
      <c r="AG44" s="542"/>
      <c r="AH44" s="542"/>
      <c r="AI44" s="539"/>
      <c r="AJ44" s="542"/>
      <c r="AK44" s="542"/>
      <c r="AL44" s="542"/>
      <c r="AM44" s="542"/>
      <c r="AN44" s="542"/>
      <c r="AO44" s="596"/>
      <c r="AP44" s="56"/>
      <c r="AQ44" s="57"/>
      <c r="AR44" s="57"/>
      <c r="AS44" s="57"/>
      <c r="AT44" s="58"/>
    </row>
    <row r="45" spans="1:46" ht="13.5" customHeight="1" x14ac:dyDescent="0.15">
      <c r="A45" s="561"/>
      <c r="B45" s="562"/>
      <c r="C45" s="565"/>
      <c r="D45" s="542"/>
      <c r="E45" s="542"/>
      <c r="F45" s="542"/>
      <c r="G45" s="542"/>
      <c r="H45" s="542"/>
      <c r="I45" s="539"/>
      <c r="J45" s="542"/>
      <c r="K45" s="542"/>
      <c r="L45" s="542"/>
      <c r="M45" s="542"/>
      <c r="N45" s="542"/>
      <c r="O45" s="572"/>
      <c r="P45" s="565"/>
      <c r="Q45" s="542"/>
      <c r="R45" s="542"/>
      <c r="S45" s="542"/>
      <c r="T45" s="542"/>
      <c r="U45" s="542"/>
      <c r="V45" s="539"/>
      <c r="W45" s="542"/>
      <c r="X45" s="542"/>
      <c r="Y45" s="542"/>
      <c r="Z45" s="542"/>
      <c r="AA45" s="542"/>
      <c r="AB45" s="572"/>
      <c r="AC45" s="565"/>
      <c r="AD45" s="542"/>
      <c r="AE45" s="542"/>
      <c r="AF45" s="542"/>
      <c r="AG45" s="542"/>
      <c r="AH45" s="542"/>
      <c r="AI45" s="539"/>
      <c r="AJ45" s="542"/>
      <c r="AK45" s="542"/>
      <c r="AL45" s="542"/>
      <c r="AM45" s="542"/>
      <c r="AN45" s="542"/>
      <c r="AO45" s="596"/>
      <c r="AP45" s="56"/>
      <c r="AQ45" s="57"/>
      <c r="AR45" s="57"/>
      <c r="AS45" s="57"/>
      <c r="AT45" s="58"/>
    </row>
    <row r="46" spans="1:46" ht="13.5" customHeight="1" x14ac:dyDescent="0.15">
      <c r="A46" s="561"/>
      <c r="B46" s="562"/>
      <c r="C46" s="565"/>
      <c r="D46" s="542"/>
      <c r="E46" s="542"/>
      <c r="F46" s="542"/>
      <c r="G46" s="542"/>
      <c r="H46" s="542"/>
      <c r="I46" s="539"/>
      <c r="J46" s="542"/>
      <c r="K46" s="542"/>
      <c r="L46" s="542"/>
      <c r="M46" s="542"/>
      <c r="N46" s="542"/>
      <c r="O46" s="572"/>
      <c r="P46" s="565"/>
      <c r="Q46" s="542"/>
      <c r="R46" s="542"/>
      <c r="S46" s="542"/>
      <c r="T46" s="542"/>
      <c r="U46" s="542"/>
      <c r="V46" s="539"/>
      <c r="W46" s="542"/>
      <c r="X46" s="542"/>
      <c r="Y46" s="542"/>
      <c r="Z46" s="542"/>
      <c r="AA46" s="542"/>
      <c r="AB46" s="572"/>
      <c r="AC46" s="565"/>
      <c r="AD46" s="542"/>
      <c r="AE46" s="542"/>
      <c r="AF46" s="542"/>
      <c r="AG46" s="542"/>
      <c r="AH46" s="542"/>
      <c r="AI46" s="539"/>
      <c r="AJ46" s="542"/>
      <c r="AK46" s="542"/>
      <c r="AL46" s="542"/>
      <c r="AM46" s="542"/>
      <c r="AN46" s="542"/>
      <c r="AO46" s="596"/>
      <c r="AP46" s="56"/>
      <c r="AQ46" s="57"/>
      <c r="AR46" s="57"/>
      <c r="AS46" s="57"/>
      <c r="AT46" s="58"/>
    </row>
    <row r="47" spans="1:46" ht="13.5" customHeight="1" x14ac:dyDescent="0.15">
      <c r="A47" s="561"/>
      <c r="B47" s="562"/>
      <c r="C47" s="565"/>
      <c r="D47" s="542"/>
      <c r="E47" s="542"/>
      <c r="F47" s="542"/>
      <c r="G47" s="542"/>
      <c r="H47" s="542"/>
      <c r="I47" s="539"/>
      <c r="J47" s="542"/>
      <c r="K47" s="542"/>
      <c r="L47" s="542"/>
      <c r="M47" s="542"/>
      <c r="N47" s="542"/>
      <c r="O47" s="572"/>
      <c r="P47" s="565"/>
      <c r="Q47" s="542"/>
      <c r="R47" s="542"/>
      <c r="S47" s="542"/>
      <c r="T47" s="542"/>
      <c r="U47" s="542"/>
      <c r="V47" s="539"/>
      <c r="W47" s="542"/>
      <c r="X47" s="542"/>
      <c r="Y47" s="542"/>
      <c r="Z47" s="542"/>
      <c r="AA47" s="542"/>
      <c r="AB47" s="572"/>
      <c r="AC47" s="565"/>
      <c r="AD47" s="542"/>
      <c r="AE47" s="542"/>
      <c r="AF47" s="542"/>
      <c r="AG47" s="542"/>
      <c r="AH47" s="542"/>
      <c r="AI47" s="539"/>
      <c r="AJ47" s="542"/>
      <c r="AK47" s="542"/>
      <c r="AL47" s="542"/>
      <c r="AM47" s="542"/>
      <c r="AN47" s="542"/>
      <c r="AO47" s="596"/>
      <c r="AP47" s="56"/>
      <c r="AQ47" s="57"/>
      <c r="AR47" s="57"/>
      <c r="AS47" s="57"/>
      <c r="AT47" s="58"/>
    </row>
    <row r="48" spans="1:46" ht="13.5" customHeight="1" x14ac:dyDescent="0.15">
      <c r="A48" s="563"/>
      <c r="B48" s="564"/>
      <c r="C48" s="566"/>
      <c r="D48" s="567"/>
      <c r="E48" s="567"/>
      <c r="F48" s="567"/>
      <c r="G48" s="567"/>
      <c r="H48" s="567"/>
      <c r="I48" s="568"/>
      <c r="J48" s="567"/>
      <c r="K48" s="567"/>
      <c r="L48" s="567"/>
      <c r="M48" s="567"/>
      <c r="N48" s="567"/>
      <c r="O48" s="573"/>
      <c r="P48" s="566"/>
      <c r="Q48" s="567"/>
      <c r="R48" s="567"/>
      <c r="S48" s="567"/>
      <c r="T48" s="567"/>
      <c r="U48" s="567"/>
      <c r="V48" s="568"/>
      <c r="W48" s="567"/>
      <c r="X48" s="567"/>
      <c r="Y48" s="567"/>
      <c r="Z48" s="567"/>
      <c r="AA48" s="567"/>
      <c r="AB48" s="573"/>
      <c r="AC48" s="566"/>
      <c r="AD48" s="567"/>
      <c r="AE48" s="567"/>
      <c r="AF48" s="567"/>
      <c r="AG48" s="567"/>
      <c r="AH48" s="567"/>
      <c r="AI48" s="568"/>
      <c r="AJ48" s="567"/>
      <c r="AK48" s="567"/>
      <c r="AL48" s="567"/>
      <c r="AM48" s="567"/>
      <c r="AN48" s="567"/>
      <c r="AO48" s="597"/>
      <c r="AP48" s="59"/>
      <c r="AQ48" s="60"/>
      <c r="AR48" s="60"/>
      <c r="AS48" s="60"/>
      <c r="AT48" s="61"/>
    </row>
  </sheetData>
  <sheetProtection algorithmName="SHA-512" hashValue="nhD+0Bsex/pzri4GwE4lfQfz8Gpu9lfjIrArS0pQtDgmyO6fp0h8+1Z54XaI5ZdAX1LwRZ1a4eBEEl2POLSXcg==" saltValue="gdN+nKUFrWXv4mnxOjQSuw==" spinCount="100000" sheet="1" objects="1" scenarios="1" formatCells="0"/>
  <mergeCells count="245">
    <mergeCell ref="C5:H6"/>
    <mergeCell ref="J5:O6"/>
    <mergeCell ref="I5:I6"/>
    <mergeCell ref="Y11:AA14"/>
    <mergeCell ref="J11:K12"/>
    <mergeCell ref="L11:N14"/>
    <mergeCell ref="C7:C10"/>
    <mergeCell ref="G7:H8"/>
    <mergeCell ref="J7:K8"/>
    <mergeCell ref="G9:H10"/>
    <mergeCell ref="C11:C14"/>
    <mergeCell ref="D11:F14"/>
    <mergeCell ref="G11:H12"/>
    <mergeCell ref="I11:I12"/>
    <mergeCell ref="G13:H14"/>
    <mergeCell ref="I13:I14"/>
    <mergeCell ref="T13:U14"/>
    <mergeCell ref="Y7:AA10"/>
    <mergeCell ref="V13:V14"/>
    <mergeCell ref="Q7:S10"/>
    <mergeCell ref="T7:U8"/>
    <mergeCell ref="V7:V8"/>
    <mergeCell ref="T9:U10"/>
    <mergeCell ref="V9:V10"/>
    <mergeCell ref="AB15:AB18"/>
    <mergeCell ref="Q17:U18"/>
    <mergeCell ref="V17:V18"/>
    <mergeCell ref="I9:I10"/>
    <mergeCell ref="J15:N16"/>
    <mergeCell ref="P11:P14"/>
    <mergeCell ref="AB7:AB10"/>
    <mergeCell ref="W11:X12"/>
    <mergeCell ref="W9:X10"/>
    <mergeCell ref="W7:X8"/>
    <mergeCell ref="AB11:AB14"/>
    <mergeCell ref="W13:X14"/>
    <mergeCell ref="C19:H20"/>
    <mergeCell ref="J19:O20"/>
    <mergeCell ref="C15:C18"/>
    <mergeCell ref="I15:I16"/>
    <mergeCell ref="O15:O18"/>
    <mergeCell ref="I17:I18"/>
    <mergeCell ref="J17:N18"/>
    <mergeCell ref="D7:F10"/>
    <mergeCell ref="L7:N10"/>
    <mergeCell ref="D17:H18"/>
    <mergeCell ref="O11:O14"/>
    <mergeCell ref="D15:H16"/>
    <mergeCell ref="I19:I20"/>
    <mergeCell ref="J13:K14"/>
    <mergeCell ref="J9:K10"/>
    <mergeCell ref="AC21:AH26"/>
    <mergeCell ref="P27:U28"/>
    <mergeCell ref="V27:V28"/>
    <mergeCell ref="AC27:AH28"/>
    <mergeCell ref="W27:AB28"/>
    <mergeCell ref="P21:U26"/>
    <mergeCell ref="V21:V26"/>
    <mergeCell ref="W21:AB26"/>
    <mergeCell ref="AL33:AN36"/>
    <mergeCell ref="AI33:AI34"/>
    <mergeCell ref="P29:P32"/>
    <mergeCell ref="P33:P36"/>
    <mergeCell ref="AG31:AH32"/>
    <mergeCell ref="W31:X32"/>
    <mergeCell ref="Y29:AA32"/>
    <mergeCell ref="Y33:AA36"/>
    <mergeCell ref="T35:U36"/>
    <mergeCell ref="T33:U34"/>
    <mergeCell ref="AD29:AF32"/>
    <mergeCell ref="W29:X30"/>
    <mergeCell ref="V29:V30"/>
    <mergeCell ref="V33:V34"/>
    <mergeCell ref="W33:X34"/>
    <mergeCell ref="AG33:AH34"/>
    <mergeCell ref="AJ33:AK34"/>
    <mergeCell ref="G35:H36"/>
    <mergeCell ref="O37:O40"/>
    <mergeCell ref="P37:P40"/>
    <mergeCell ref="Q37:U38"/>
    <mergeCell ref="V37:V38"/>
    <mergeCell ref="Q33:S36"/>
    <mergeCell ref="W37:AA38"/>
    <mergeCell ref="D37:H38"/>
    <mergeCell ref="P41:U42"/>
    <mergeCell ref="Q39:U40"/>
    <mergeCell ref="V39:V40"/>
    <mergeCell ref="W41:AB42"/>
    <mergeCell ref="W39:AA40"/>
    <mergeCell ref="AD39:AH40"/>
    <mergeCell ref="AC29:AC32"/>
    <mergeCell ref="P43:U48"/>
    <mergeCell ref="W43:AB48"/>
    <mergeCell ref="AC43:AH48"/>
    <mergeCell ref="V43:V48"/>
    <mergeCell ref="T31:U32"/>
    <mergeCell ref="V31:V32"/>
    <mergeCell ref="V35:V36"/>
    <mergeCell ref="W35:X36"/>
    <mergeCell ref="AB33:AB36"/>
    <mergeCell ref="AI43:AI48"/>
    <mergeCell ref="AO37:AO40"/>
    <mergeCell ref="V41:V42"/>
    <mergeCell ref="AI37:AI38"/>
    <mergeCell ref="AJ43:AO48"/>
    <mergeCell ref="AI39:AI40"/>
    <mergeCell ref="AJ39:AN40"/>
    <mergeCell ref="AI41:AI42"/>
    <mergeCell ref="AJ41:AO42"/>
    <mergeCell ref="AC41:AH42"/>
    <mergeCell ref="AJ37:AN38"/>
    <mergeCell ref="AB37:AB40"/>
    <mergeCell ref="AD37:AH38"/>
    <mergeCell ref="AC37:AC40"/>
    <mergeCell ref="AI27:AI28"/>
    <mergeCell ref="AJ21:AO26"/>
    <mergeCell ref="AI21:AI26"/>
    <mergeCell ref="AI19:AI20"/>
    <mergeCell ref="AJ19:AO20"/>
    <mergeCell ref="AI15:AI16"/>
    <mergeCell ref="AJ15:AN16"/>
    <mergeCell ref="AP8:AT8"/>
    <mergeCell ref="AP4:AT4"/>
    <mergeCell ref="AP5:AT5"/>
    <mergeCell ref="AP6:AT6"/>
    <mergeCell ref="AP7:AT7"/>
    <mergeCell ref="AJ27:AO28"/>
    <mergeCell ref="AO11:AO14"/>
    <mergeCell ref="AI7:AI8"/>
    <mergeCell ref="AJ7:AK8"/>
    <mergeCell ref="AL7:AN10"/>
    <mergeCell ref="AI5:AI6"/>
    <mergeCell ref="AJ5:AO6"/>
    <mergeCell ref="AI9:AI10"/>
    <mergeCell ref="AL11:AN14"/>
    <mergeCell ref="AI11:AI12"/>
    <mergeCell ref="AJ11:AK12"/>
    <mergeCell ref="AJ13:AK14"/>
    <mergeCell ref="I21:I26"/>
    <mergeCell ref="O7:O10"/>
    <mergeCell ref="I7:I8"/>
    <mergeCell ref="AO33:AO36"/>
    <mergeCell ref="AI35:AI36"/>
    <mergeCell ref="AJ29:AK30"/>
    <mergeCell ref="AJ31:AK32"/>
    <mergeCell ref="AI31:AI32"/>
    <mergeCell ref="AL29:AN32"/>
    <mergeCell ref="AO29:AO32"/>
    <mergeCell ref="L33:N36"/>
    <mergeCell ref="O33:O36"/>
    <mergeCell ref="I29:I30"/>
    <mergeCell ref="AI29:AI30"/>
    <mergeCell ref="Q29:S32"/>
    <mergeCell ref="AB29:AB32"/>
    <mergeCell ref="AG29:AH30"/>
    <mergeCell ref="AJ35:AK36"/>
    <mergeCell ref="AG35:AH36"/>
    <mergeCell ref="AC33:AC36"/>
    <mergeCell ref="AD33:AF36"/>
    <mergeCell ref="I33:I34"/>
    <mergeCell ref="J33:K34"/>
    <mergeCell ref="T29:U30"/>
    <mergeCell ref="A5:B26"/>
    <mergeCell ref="A2:D2"/>
    <mergeCell ref="A3:B4"/>
    <mergeCell ref="C4:O4"/>
    <mergeCell ref="C3:O3"/>
    <mergeCell ref="I2:N2"/>
    <mergeCell ref="E2:H2"/>
    <mergeCell ref="D39:H40"/>
    <mergeCell ref="C41:H42"/>
    <mergeCell ref="G29:H30"/>
    <mergeCell ref="J21:O26"/>
    <mergeCell ref="C21:H26"/>
    <mergeCell ref="J27:O28"/>
    <mergeCell ref="J41:O42"/>
    <mergeCell ref="J39:N40"/>
    <mergeCell ref="J37:N38"/>
    <mergeCell ref="J35:K36"/>
    <mergeCell ref="I39:I40"/>
    <mergeCell ref="C29:C32"/>
    <mergeCell ref="D29:F32"/>
    <mergeCell ref="C37:C40"/>
    <mergeCell ref="L29:N32"/>
    <mergeCell ref="O29:O32"/>
    <mergeCell ref="I35:I36"/>
    <mergeCell ref="G31:H32"/>
    <mergeCell ref="I31:I32"/>
    <mergeCell ref="J31:K32"/>
    <mergeCell ref="A27:B48"/>
    <mergeCell ref="C43:H48"/>
    <mergeCell ref="I43:I48"/>
    <mergeCell ref="C27:H28"/>
    <mergeCell ref="I27:I28"/>
    <mergeCell ref="I41:I42"/>
    <mergeCell ref="I37:I38"/>
    <mergeCell ref="J29:K30"/>
    <mergeCell ref="C33:C36"/>
    <mergeCell ref="D33:F36"/>
    <mergeCell ref="G33:H34"/>
    <mergeCell ref="J43:O48"/>
    <mergeCell ref="AP2:AS2"/>
    <mergeCell ref="AC4:AO4"/>
    <mergeCell ref="AO7:AO10"/>
    <mergeCell ref="AD15:AH16"/>
    <mergeCell ref="AD17:AH18"/>
    <mergeCell ref="AJ9:AK10"/>
    <mergeCell ref="AJ17:AN18"/>
    <mergeCell ref="AC15:AC18"/>
    <mergeCell ref="AC7:AC10"/>
    <mergeCell ref="AD7:AF10"/>
    <mergeCell ref="AG7:AH8"/>
    <mergeCell ref="AP3:AT3"/>
    <mergeCell ref="AO15:AO18"/>
    <mergeCell ref="AI13:AI14"/>
    <mergeCell ref="AC5:AH6"/>
    <mergeCell ref="AG13:AH14"/>
    <mergeCell ref="AG9:AH10"/>
    <mergeCell ref="AC11:AC14"/>
    <mergeCell ref="AD11:AF14"/>
    <mergeCell ref="AG11:AH12"/>
    <mergeCell ref="P3:AB3"/>
    <mergeCell ref="P4:AB4"/>
    <mergeCell ref="Z2:AB2"/>
    <mergeCell ref="P2:S2"/>
    <mergeCell ref="T2:V2"/>
    <mergeCell ref="W2:X2"/>
    <mergeCell ref="AC3:AO3"/>
    <mergeCell ref="AC19:AH20"/>
    <mergeCell ref="AI17:AI18"/>
    <mergeCell ref="P19:U20"/>
    <mergeCell ref="V19:V20"/>
    <mergeCell ref="W19:AB20"/>
    <mergeCell ref="W15:AA16"/>
    <mergeCell ref="Q15:U16"/>
    <mergeCell ref="V15:V16"/>
    <mergeCell ref="W17:AA18"/>
    <mergeCell ref="P15:P18"/>
    <mergeCell ref="W5:AB6"/>
    <mergeCell ref="P5:U6"/>
    <mergeCell ref="V5:V6"/>
    <mergeCell ref="P7:P10"/>
    <mergeCell ref="Q11:S14"/>
    <mergeCell ref="T11:U12"/>
    <mergeCell ref="V11:V12"/>
  </mergeCells>
  <phoneticPr fontId="19"/>
  <pageMargins left="0.19685039370078741" right="0.19685039370078741" top="0.39370078740157483" bottom="0.19685039370078741" header="0.51181102362204722" footer="0.51181102362204722"/>
  <pageSetup paperSize="9" scale="85" orientation="landscape" copies="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="60" zoomScaleNormal="60" workbookViewId="0">
      <selection activeCell="C6" sqref="C6"/>
    </sheetView>
  </sheetViews>
  <sheetFormatPr defaultColWidth="10.28515625" defaultRowHeight="16.5" x14ac:dyDescent="0.15"/>
  <cols>
    <col min="1" max="1" width="9.5703125" style="38" customWidth="1"/>
    <col min="2" max="2" width="16.7109375" style="38" customWidth="1"/>
    <col min="3" max="7" width="20.7109375" style="38" customWidth="1"/>
    <col min="8" max="16384" width="10.28515625" style="38"/>
  </cols>
  <sheetData>
    <row r="1" spans="1:7" ht="24.95" customHeight="1" x14ac:dyDescent="0.15"/>
    <row r="2" spans="1:7" ht="24.95" customHeight="1" x14ac:dyDescent="0.15">
      <c r="A2" s="598" t="s">
        <v>12</v>
      </c>
      <c r="B2" s="598"/>
      <c r="C2" s="598"/>
      <c r="D2" s="598"/>
      <c r="E2" s="598"/>
      <c r="F2" s="598"/>
      <c r="G2" s="598"/>
    </row>
    <row r="3" spans="1:7" ht="24.95" customHeight="1" x14ac:dyDescent="0.15">
      <c r="A3" s="39" t="str">
        <f>"★"&amp;'5チーム2回戦総当たりスケジュール作業表'!$C$1&amp;"リーグ"</f>
        <v>★木曜リーグ</v>
      </c>
      <c r="B3" s="40"/>
      <c r="C3" s="39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D3" s="41"/>
      <c r="E3" s="41"/>
      <c r="F3" s="42"/>
      <c r="G3" s="41"/>
    </row>
    <row r="4" spans="1:7" ht="21" customHeight="1" x14ac:dyDescent="0.15">
      <c r="A4" s="599" t="s">
        <v>13</v>
      </c>
      <c r="B4" s="599" t="s">
        <v>14</v>
      </c>
      <c r="C4" s="601" t="s">
        <v>15</v>
      </c>
      <c r="D4" s="601"/>
      <c r="E4" s="601"/>
      <c r="F4" s="601"/>
      <c r="G4" s="601"/>
    </row>
    <row r="5" spans="1:7" ht="35.1" customHeight="1" thickBot="1" x14ac:dyDescent="0.2">
      <c r="A5" s="600"/>
      <c r="B5" s="600"/>
      <c r="C5" s="43" t="str">
        <f>'5チーム2回戦総当たりスケジュール作業表'!$X$6</f>
        <v>T-25</v>
      </c>
      <c r="D5" s="43" t="str">
        <f>'5チーム2回戦総当たりスケジュール作業表'!$X$7</f>
        <v>Etelia</v>
      </c>
      <c r="E5" s="43" t="str">
        <f>'5チーム2回戦総当たりスケジュール作業表'!$X$8</f>
        <v>うなぎ</v>
      </c>
      <c r="F5" s="43" t="str">
        <f>'5チーム2回戦総当たりスケジュール作業表'!$X$9</f>
        <v>飛杉田新地</v>
      </c>
      <c r="G5" s="43" t="str">
        <f>'5チーム2回戦総当たりスケジュール作業表'!$X$10</f>
        <v>PURE</v>
      </c>
    </row>
    <row r="6" spans="1:7" ht="47.1" customHeight="1" thickTop="1" x14ac:dyDescent="0.15">
      <c r="A6" s="44">
        <v>1</v>
      </c>
      <c r="B6" s="45">
        <f>'5チーム2回戦総当たりスケジュール作業表'!$B$6</f>
        <v>45190</v>
      </c>
      <c r="C6" s="46" t="str">
        <f ca="1">(IF(C$5=OFFSET('5チーム2回戦総当たりスケジュール作業表'!$K$5,1,0),"試合なし",""))</f>
        <v/>
      </c>
      <c r="D6" s="46" t="str">
        <f ca="1">(IF(D$5=OFFSET('5チーム2回戦総当たりスケジュール作業表'!$K$5,1,0),"試合なし",""))</f>
        <v/>
      </c>
      <c r="E6" s="46" t="str">
        <f ca="1">(IF(E$5=OFFSET('5チーム2回戦総当たりスケジュール作業表'!$K$5,1,0),"試合なし",""))</f>
        <v/>
      </c>
      <c r="F6" s="46" t="str">
        <f ca="1">(IF(F$5=OFFSET('5チーム2回戦総当たりスケジュール作業表'!$K$5,1,0),"試合なし",""))</f>
        <v/>
      </c>
      <c r="G6" s="46" t="str">
        <f ca="1">(IF(G$5=OFFSET('5チーム2回戦総当たりスケジュール作業表'!$K$5,1,0),"試合なし",""))</f>
        <v>試合なし</v>
      </c>
    </row>
    <row r="7" spans="1:7" ht="47.1" customHeight="1" x14ac:dyDescent="0.15">
      <c r="A7" s="44">
        <v>2</v>
      </c>
      <c r="B7" s="47">
        <f>'5チーム2回戦総当たりスケジュール作業表'!$B$7</f>
        <v>45197</v>
      </c>
      <c r="C7" s="46" t="str">
        <f ca="1">(IF(C$5=OFFSET('5チーム2回戦総当たりスケジュール作業表'!$K$5,2,0),"試合なし",""))</f>
        <v/>
      </c>
      <c r="D7" s="46" t="str">
        <f ca="1">(IF(D$5=OFFSET('5チーム2回戦総当たりスケジュール作業表'!$K$5,2,0),"試合なし",""))</f>
        <v/>
      </c>
      <c r="E7" s="46" t="str">
        <f ca="1">(IF(E$5=OFFSET('5チーム2回戦総当たりスケジュール作業表'!$K$5,2,0),"試合なし",""))</f>
        <v>試合なし</v>
      </c>
      <c r="F7" s="46" t="str">
        <f ca="1">(IF(F$5=OFFSET('5チーム2回戦総当たりスケジュール作業表'!$K$5,2,0),"試合なし",""))</f>
        <v/>
      </c>
      <c r="G7" s="46" t="str">
        <f ca="1">(IF(G$5=OFFSET('5チーム2回戦総当たりスケジュール作業表'!$K$5,2,0),"試合なし",""))</f>
        <v/>
      </c>
    </row>
    <row r="8" spans="1:7" ht="47.1" customHeight="1" x14ac:dyDescent="0.15">
      <c r="A8" s="44">
        <v>3</v>
      </c>
      <c r="B8" s="47">
        <f>'5チーム2回戦総当たりスケジュール作業表'!$B$8</f>
        <v>45204</v>
      </c>
      <c r="C8" s="46" t="str">
        <f ca="1">(IF(C$5=OFFSET('5チーム2回戦総当たりスケジュール作業表'!$K$5,3,0),"試合なし",""))</f>
        <v/>
      </c>
      <c r="D8" s="46" t="str">
        <f ca="1">(IF(D$5=OFFSET('5チーム2回戦総当たりスケジュール作業表'!$K$5,3,0),"試合なし",""))</f>
        <v>試合なし</v>
      </c>
      <c r="E8" s="46" t="str">
        <f ca="1">(IF(E$5=OFFSET('5チーム2回戦総当たりスケジュール作業表'!$K$5,3,0),"試合なし",""))</f>
        <v/>
      </c>
      <c r="F8" s="46" t="str">
        <f ca="1">(IF(F$5=OFFSET('5チーム2回戦総当たりスケジュール作業表'!$K$5,3,0),"試合なし",""))</f>
        <v/>
      </c>
      <c r="G8" s="46" t="str">
        <f ca="1">(IF(G$5=OFFSET('5チーム2回戦総当たりスケジュール作業表'!$K$5,3,0),"試合なし",""))</f>
        <v/>
      </c>
    </row>
    <row r="9" spans="1:7" ht="47.1" customHeight="1" x14ac:dyDescent="0.15">
      <c r="A9" s="44">
        <v>4</v>
      </c>
      <c r="B9" s="47">
        <f>'5チーム2回戦総当たりスケジュール作業表'!$B$9</f>
        <v>45211</v>
      </c>
      <c r="C9" s="46" t="str">
        <f ca="1">(IF(C$5=OFFSET('5チーム2回戦総当たりスケジュール作業表'!$K$5,4,0),"試合なし",""))</f>
        <v/>
      </c>
      <c r="D9" s="46" t="str">
        <f ca="1">(IF(D$5=OFFSET('5チーム2回戦総当たりスケジュール作業表'!$K$5,4,0),"試合なし",""))</f>
        <v/>
      </c>
      <c r="E9" s="46" t="str">
        <f ca="1">(IF(E$5=OFFSET('5チーム2回戦総当たりスケジュール作業表'!$K$5,4,0),"試合なし",""))</f>
        <v/>
      </c>
      <c r="F9" s="46" t="str">
        <f ca="1">(IF(F$5=OFFSET('5チーム2回戦総当たりスケジュール作業表'!$K$5,4,0),"試合なし",""))</f>
        <v>試合なし</v>
      </c>
      <c r="G9" s="46" t="str">
        <f ca="1">(IF(G$5=OFFSET('5チーム2回戦総当たりスケジュール作業表'!$K$5,4,0),"試合なし",""))</f>
        <v/>
      </c>
    </row>
    <row r="10" spans="1:7" ht="47.1" customHeight="1" x14ac:dyDescent="0.15">
      <c r="A10" s="44">
        <v>5</v>
      </c>
      <c r="B10" s="47">
        <f>'5チーム2回戦総当たりスケジュール作業表'!$B$10</f>
        <v>45218</v>
      </c>
      <c r="C10" s="46" t="str">
        <f ca="1">(IF(C$5=OFFSET('5チーム2回戦総当たりスケジュール作業表'!$K$5,5,0),"試合なし",""))</f>
        <v>試合なし</v>
      </c>
      <c r="D10" s="46" t="str">
        <f ca="1">(IF(D$5=OFFSET('5チーム2回戦総当たりスケジュール作業表'!$K$5,5,0),"試合なし",""))</f>
        <v/>
      </c>
      <c r="E10" s="46" t="str">
        <f ca="1">(IF(E$5=OFFSET('5チーム2回戦総当たりスケジュール作業表'!$K$5,5,0),"試合なし",""))</f>
        <v/>
      </c>
      <c r="F10" s="46" t="str">
        <f ca="1">(IF(F$5=OFFSET('5チーム2回戦総当たりスケジュール作業表'!$K$5,5,0),"試合なし",""))</f>
        <v/>
      </c>
      <c r="G10" s="46" t="str">
        <f ca="1">(IF(G$5=OFFSET('5チーム2回戦総当たりスケジュール作業表'!$K$5,5,0),"試合なし",""))</f>
        <v/>
      </c>
    </row>
    <row r="11" spans="1:7" ht="47.1" customHeight="1" x14ac:dyDescent="0.15">
      <c r="A11" s="44">
        <v>6</v>
      </c>
      <c r="B11" s="45">
        <f>'5チーム2回戦総当たりスケジュール作業表'!$B$11</f>
        <v>45225</v>
      </c>
      <c r="C11" s="46" t="str">
        <f ca="1">(IF(C$5=OFFSET('5チーム2回戦総当たりスケジュール作業表'!$K$5,6,0),"試合なし",""))</f>
        <v/>
      </c>
      <c r="D11" s="46" t="str">
        <f ca="1">(IF(D$5=OFFSET('5チーム2回戦総当たりスケジュール作業表'!$K$5,6,0),"試合なし",""))</f>
        <v/>
      </c>
      <c r="E11" s="46" t="str">
        <f ca="1">(IF(E$5=OFFSET('5チーム2回戦総当たりスケジュール作業表'!$K$5,6,0),"試合なし",""))</f>
        <v/>
      </c>
      <c r="F11" s="46" t="str">
        <f ca="1">(IF(F$5=OFFSET('5チーム2回戦総当たりスケジュール作業表'!$K$5,6,0),"試合なし",""))</f>
        <v/>
      </c>
      <c r="G11" s="46" t="str">
        <f ca="1">(IF(G$5=OFFSET('5チーム2回戦総当たりスケジュール作業表'!$K$5,6,0),"試合なし",""))</f>
        <v>試合なし</v>
      </c>
    </row>
    <row r="12" spans="1:7" ht="47.1" customHeight="1" x14ac:dyDescent="0.15">
      <c r="A12" s="44">
        <v>7</v>
      </c>
      <c r="B12" s="47">
        <f>'5チーム2回戦総当たりスケジュール作業表'!$B$12</f>
        <v>45232</v>
      </c>
      <c r="C12" s="46" t="str">
        <f ca="1">(IF(C$5=OFFSET('5チーム2回戦総当たりスケジュール作業表'!$K$5,7,0),"試合なし",""))</f>
        <v/>
      </c>
      <c r="D12" s="46" t="str">
        <f ca="1">(IF(D$5=OFFSET('5チーム2回戦総当たりスケジュール作業表'!$K$5,7,0),"試合なし",""))</f>
        <v>試合なし</v>
      </c>
      <c r="E12" s="46" t="str">
        <f ca="1">(IF(E$5=OFFSET('5チーム2回戦総当たりスケジュール作業表'!$K$5,7,0),"試合なし",""))</f>
        <v/>
      </c>
      <c r="F12" s="46" t="str">
        <f ca="1">(IF(F$5=OFFSET('5チーム2回戦総当たりスケジュール作業表'!$K$5,7,0),"試合なし",""))</f>
        <v/>
      </c>
      <c r="G12" s="46" t="str">
        <f ca="1">(IF(G$5=OFFSET('5チーム2回戦総当たりスケジュール作業表'!$K$5,7,0),"試合なし",""))</f>
        <v/>
      </c>
    </row>
    <row r="13" spans="1:7" ht="47.1" customHeight="1" x14ac:dyDescent="0.15">
      <c r="A13" s="44">
        <v>8</v>
      </c>
      <c r="B13" s="47">
        <f>'5チーム2回戦総当たりスケジュール作業表'!$B$13</f>
        <v>45239</v>
      </c>
      <c r="C13" s="46" t="str">
        <f ca="1">(IF(C$5=OFFSET('5チーム2回戦総当たりスケジュール作業表'!$K$5,8,0),"試合なし",""))</f>
        <v/>
      </c>
      <c r="D13" s="46" t="str">
        <f ca="1">(IF(D$5=OFFSET('5チーム2回戦総当たりスケジュール作業表'!$K$5,8,0),"試合なし",""))</f>
        <v/>
      </c>
      <c r="E13" s="46" t="str">
        <f ca="1">(IF(E$5=OFFSET('5チーム2回戦総当たりスケジュール作業表'!$K$5,8,0),"試合なし",""))</f>
        <v>試合なし</v>
      </c>
      <c r="F13" s="46" t="str">
        <f ca="1">(IF(F$5=OFFSET('5チーム2回戦総当たりスケジュール作業表'!$K$5,8,0),"試合なし",""))</f>
        <v/>
      </c>
      <c r="G13" s="46" t="str">
        <f ca="1">(IF(G$5=OFFSET('5チーム2回戦総当たりスケジュール作業表'!$K$5,8,0),"試合なし",""))</f>
        <v/>
      </c>
    </row>
    <row r="14" spans="1:7" ht="47.1" customHeight="1" x14ac:dyDescent="0.15">
      <c r="A14" s="44">
        <v>9</v>
      </c>
      <c r="B14" s="47">
        <f>'5チーム2回戦総当たりスケジュール作業表'!$B$14</f>
        <v>45246</v>
      </c>
      <c r="C14" s="46" t="str">
        <f ca="1">(IF(C$5=OFFSET('5チーム2回戦総当たりスケジュール作業表'!$K$5,9,0),"試合なし",""))</f>
        <v/>
      </c>
      <c r="D14" s="46" t="str">
        <f ca="1">(IF(D$5=OFFSET('5チーム2回戦総当たりスケジュール作業表'!$K$5,9,0),"試合なし",""))</f>
        <v/>
      </c>
      <c r="E14" s="46" t="str">
        <f ca="1">(IF(E$5=OFFSET('5チーム2回戦総当たりスケジュール作業表'!$K$5,9,0),"試合なし",""))</f>
        <v/>
      </c>
      <c r="F14" s="46" t="str">
        <f ca="1">(IF(F$5=OFFSET('5チーム2回戦総当たりスケジュール作業表'!$K$5,9,0),"試合なし",""))</f>
        <v>試合なし</v>
      </c>
      <c r="G14" s="46" t="str">
        <f ca="1">(IF(G$5=OFFSET('5チーム2回戦総当たりスケジュール作業表'!$K$5,9,0),"試合なし",""))</f>
        <v/>
      </c>
    </row>
    <row r="15" spans="1:7" ht="47.1" customHeight="1" x14ac:dyDescent="0.15">
      <c r="A15" s="44">
        <v>10</v>
      </c>
      <c r="B15" s="47">
        <f>'5チーム2回戦総当たりスケジュール作業表'!$B$15</f>
        <v>45253</v>
      </c>
      <c r="C15" s="46" t="str">
        <f ca="1">(IF(C$5=OFFSET('5チーム2回戦総当たりスケジュール作業表'!$K$5,10,0),"試合なし",""))</f>
        <v>試合なし</v>
      </c>
      <c r="D15" s="46" t="str">
        <f ca="1">(IF(D$5=OFFSET('5チーム2回戦総当たりスケジュール作業表'!$K$5,10,0),"試合なし",""))</f>
        <v/>
      </c>
      <c r="E15" s="46" t="str">
        <f ca="1">(IF(E$5=OFFSET('5チーム2回戦総当たりスケジュール作業表'!$K$5,10,0),"試合なし",""))</f>
        <v/>
      </c>
      <c r="F15" s="46" t="str">
        <f ca="1">(IF(F$5=OFFSET('5チーム2回戦総当たりスケジュール作業表'!$K$5,10,0),"試合なし",""))</f>
        <v/>
      </c>
      <c r="G15" s="46" t="str">
        <f ca="1">(IF(G$5=OFFSET('5チーム2回戦総当たりスケジュール作業表'!$K$5,10,0),"試合なし",""))</f>
        <v/>
      </c>
    </row>
  </sheetData>
  <sheetProtection algorithmName="SHA-512" hashValue="IFrmj9kpU93rUYeQV9J9tgvBFYyjpA7gazgh8ccrLGoDskzQn/jz2WK0t5gon/pEl8ubdQRU08Jpg7LsccKDDw==" saltValue="xeoNyJmQrNy2nJRT/cItKA==" spinCount="100000" sheet="1" formatCells="0"/>
  <mergeCells count="4">
    <mergeCell ref="A2:G2"/>
    <mergeCell ref="A4:A5"/>
    <mergeCell ref="B4:B5"/>
    <mergeCell ref="C4:G4"/>
  </mergeCells>
  <phoneticPr fontId="19"/>
  <printOptions horizont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6FD7-CA24-4466-BB40-FCFE44DD6CFC}">
  <dimension ref="A1:N32"/>
  <sheetViews>
    <sheetView topLeftCell="A7" zoomScaleNormal="100" workbookViewId="0">
      <selection activeCell="M23" sqref="M23"/>
    </sheetView>
  </sheetViews>
  <sheetFormatPr defaultColWidth="6.85546875" defaultRowHeight="14.25" customHeight="1" x14ac:dyDescent="0.15"/>
  <cols>
    <col min="1" max="1" width="8.7109375" style="10" customWidth="1"/>
    <col min="2" max="2" width="8.7109375" style="12" customWidth="1"/>
    <col min="3" max="3" width="6.7109375" style="12" customWidth="1"/>
    <col min="4" max="4" width="23.7109375" style="12" customWidth="1"/>
    <col min="5" max="5" width="3.28515625" style="12" customWidth="1"/>
    <col min="6" max="6" width="23.7109375" style="12" customWidth="1"/>
    <col min="7" max="7" width="23.7109375" style="13" customWidth="1"/>
    <col min="8" max="8" width="3.28515625" style="13" customWidth="1"/>
    <col min="9" max="9" width="23.7109375" style="13" customWidth="1"/>
    <col min="10" max="10" width="20.7109375" style="13" customWidth="1"/>
    <col min="11" max="16384" width="6.85546875" style="9"/>
  </cols>
  <sheetData>
    <row r="1" spans="1:14" s="314" customFormat="1" ht="30" customHeight="1" x14ac:dyDescent="0.15">
      <c r="A1" s="605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605"/>
      <c r="C1" s="605"/>
      <c r="D1" s="605"/>
      <c r="E1" s="605"/>
      <c r="F1" s="605"/>
      <c r="G1" s="605"/>
      <c r="H1" s="605"/>
      <c r="I1" s="605"/>
      <c r="J1" s="605"/>
      <c r="K1" s="325"/>
      <c r="L1" s="320"/>
      <c r="M1" s="313"/>
      <c r="N1" s="313"/>
    </row>
    <row r="2" spans="1:14" s="319" customFormat="1" ht="25.5" x14ac:dyDescent="0.15">
      <c r="A2" s="315" t="str">
        <f>"★"&amp;'5チーム2回戦総当たりスケジュール作業表'!$C$1&amp;"リーグ"</f>
        <v>★木曜リーグ</v>
      </c>
      <c r="B2" s="316"/>
      <c r="C2" s="317"/>
      <c r="D2" s="616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E2" s="616"/>
      <c r="F2" s="616"/>
      <c r="G2" s="317" t="s">
        <v>116</v>
      </c>
      <c r="H2" s="317"/>
      <c r="I2" s="318"/>
      <c r="J2" s="324" t="str">
        <f>'5チーム2回戦総当たりスケジュール作業表'!$K$1</f>
        <v>Thursday League</v>
      </c>
      <c r="K2" s="326"/>
      <c r="L2" s="327"/>
      <c r="M2" s="70"/>
    </row>
    <row r="3" spans="1:14" ht="6.75" customHeight="1" thickBot="1" x14ac:dyDescent="0.2">
      <c r="A3" s="610"/>
      <c r="B3" s="610"/>
      <c r="C3" s="610"/>
      <c r="D3" s="610"/>
      <c r="E3" s="610"/>
      <c r="F3" s="610"/>
      <c r="G3" s="8"/>
      <c r="H3" s="8"/>
      <c r="I3" s="8"/>
      <c r="J3" s="8"/>
    </row>
    <row r="4" spans="1:14" ht="20.100000000000001" customHeight="1" thickBot="1" x14ac:dyDescent="0.2">
      <c r="A4" s="611" t="str">
        <f>'5チーム2回戦総当たりスケジュール作業表'!$G$1</f>
        <v>4th. Stage</v>
      </c>
      <c r="B4" s="612"/>
      <c r="C4" s="613"/>
      <c r="D4" s="602" t="str">
        <f>'5チーム2回戦総当たりスケジュール作業表'!$C$4&amp;"／"&amp;'5チーム2回戦総当たりスケジュール作業表'!$C$3&amp;'5チーム2回戦総当たりスケジュール作業表'!$D$3</f>
        <v>第1試合／21:10kickoff</v>
      </c>
      <c r="E4" s="603"/>
      <c r="F4" s="604"/>
      <c r="G4" s="602" t="str">
        <f>'5チーム2回戦総当たりスケジュール作業表'!$G$4&amp;"／"&amp;'5チーム2回戦総当たりスケジュール作業表'!$G$3&amp;'5チーム2回戦総当たりスケジュール作業表'!$H$3</f>
        <v>第2試合／22:00kickoff</v>
      </c>
      <c r="H4" s="603"/>
      <c r="I4" s="604"/>
      <c r="J4" s="356" t="s">
        <v>112</v>
      </c>
    </row>
    <row r="5" spans="1:14" ht="39.950000000000003" customHeight="1" thickTop="1" x14ac:dyDescent="0.15">
      <c r="A5" s="618">
        <f>'5チーム2回戦総当たりスケジュール作業表'!$A6</f>
        <v>1</v>
      </c>
      <c r="B5" s="607">
        <f>'5チーム2回戦総当たりスケジュール作業表'!$B6</f>
        <v>45190</v>
      </c>
      <c r="C5" s="18" t="str">
        <f>'5チーム2回戦総当たりスケジュール作業表'!$P$1</f>
        <v>西</v>
      </c>
      <c r="D5" s="19" t="str">
        <f ca="1">OFFSET('5チーム2回戦総当たりスケジュール作業表'!$B$5,1,1)</f>
        <v>T-25</v>
      </c>
      <c r="E5" s="20" t="s">
        <v>0</v>
      </c>
      <c r="F5" s="21" t="str">
        <f ca="1">OFFSET('5チーム2回戦総当たりスケジュール作業表'!$B$5,1,2)</f>
        <v>Etelia</v>
      </c>
      <c r="G5" s="22" t="str">
        <f ca="1">OFFSET('5チーム2回戦総当たりスケジュール作業表'!$B$5,1,5)</f>
        <v>うなぎ</v>
      </c>
      <c r="H5" s="20" t="s">
        <v>0</v>
      </c>
      <c r="I5" s="22" t="str">
        <f ca="1">OFFSET('5チーム2回戦総当たりスケジュール作業表'!$B$5,1,6)</f>
        <v>飛杉田新地</v>
      </c>
      <c r="J5" s="351" t="str">
        <f ca="1">OFFSET('5チーム2回戦総当たりスケジュール作業表'!$B$5,1,9)</f>
        <v>PURE</v>
      </c>
    </row>
    <row r="6" spans="1:14" ht="24.95" hidden="1" customHeight="1" x14ac:dyDescent="0.15">
      <c r="A6" s="614"/>
      <c r="B6" s="615"/>
      <c r="C6" s="23" t="s">
        <v>7</v>
      </c>
      <c r="D6" s="24">
        <f ca="1">OFFSET('5チーム2回戦総当たりスケジュール作業表'!$B$5,1,3)</f>
        <v>0</v>
      </c>
      <c r="E6" s="25"/>
      <c r="F6" s="26">
        <f ca="1">OFFSET('5チーム2回戦総当たりスケジュール作業表'!$B$5,1,4)</f>
        <v>0</v>
      </c>
      <c r="G6" s="27">
        <f ca="1">OFFSET('5チーム2回戦総当たりスケジュール作業表'!$B$5,1,7)</f>
        <v>0</v>
      </c>
      <c r="H6" s="25"/>
      <c r="I6" s="27">
        <f ca="1">OFFSET('5チーム2回戦総当たりスケジュール作業表'!$B$5,1,8)</f>
        <v>0</v>
      </c>
      <c r="J6" s="352" t="e">
        <f ca="1">IF(#REF!=0,0,OFFSET('5チーム2回戦総当たりスケジュール作業表'!$B$5,1,11))</f>
        <v>#REF!</v>
      </c>
    </row>
    <row r="7" spans="1:14" ht="35.1" customHeight="1" x14ac:dyDescent="0.15">
      <c r="A7" s="608">
        <f>'5チーム2回戦総当たりスケジュール作業表'!$A7</f>
        <v>2</v>
      </c>
      <c r="B7" s="609">
        <f>'5チーム2回戦総当たりスケジュール作業表'!$B7</f>
        <v>45197</v>
      </c>
      <c r="C7" s="330" t="str">
        <f>'5チーム2回戦総当たりスケジュール作業表'!$P$1</f>
        <v>西</v>
      </c>
      <c r="D7" s="331" t="str">
        <f ca="1">OFFSET('5チーム2回戦総当たりスケジュール作業表'!$B$5,2,1)</f>
        <v>Etelia</v>
      </c>
      <c r="E7" s="332" t="s">
        <v>0</v>
      </c>
      <c r="F7" s="333" t="str">
        <f ca="1">OFFSET('5チーム2回戦総当たりスケジュール作業表'!$B$5,2,2)</f>
        <v>飛杉田新地</v>
      </c>
      <c r="G7" s="334" t="str">
        <f ca="1">OFFSET('5チーム2回戦総当たりスケジュール作業表'!$B$5,2,5)</f>
        <v>PURE</v>
      </c>
      <c r="H7" s="332" t="s">
        <v>0</v>
      </c>
      <c r="I7" s="334" t="str">
        <f ca="1">OFFSET('5チーム2回戦総当たりスケジュール作業表'!$B$5,2,6)</f>
        <v>T-25</v>
      </c>
      <c r="J7" s="353" t="str">
        <f ca="1">OFFSET('5チーム2回戦総当たりスケジュール作業表'!$B$5,2,9)</f>
        <v>うなぎ</v>
      </c>
    </row>
    <row r="8" spans="1:14" ht="24.95" hidden="1" customHeight="1" x14ac:dyDescent="0.15">
      <c r="A8" s="608"/>
      <c r="B8" s="609"/>
      <c r="C8" s="330" t="str">
        <f>'5チーム2回戦総当たりスケジュール作業表'!$P$1</f>
        <v>西</v>
      </c>
      <c r="D8" s="335">
        <f ca="1">OFFSET('5チーム2回戦総当たりスケジュール作業表'!$B$5,2,3)</f>
        <v>0</v>
      </c>
      <c r="E8" s="336"/>
      <c r="F8" s="337">
        <f ca="1">OFFSET('5チーム2回戦総当たりスケジュール作業表'!$B$5,2,4)</f>
        <v>0</v>
      </c>
      <c r="G8" s="338">
        <f ca="1">OFFSET('5チーム2回戦総当たりスケジュール作業表'!$B$5,2,7)</f>
        <v>0</v>
      </c>
      <c r="H8" s="336"/>
      <c r="I8" s="338">
        <f ca="1">OFFSET('5チーム2回戦総当たりスケジュール作業表'!$B$5,2,8)</f>
        <v>0</v>
      </c>
      <c r="J8" s="353" t="e">
        <f ca="1">IF(#REF!=0,0,OFFSET('5チーム2回戦総当たりスケジュール作業表'!$B$5,2,11))</f>
        <v>#REF!</v>
      </c>
    </row>
    <row r="9" spans="1:14" ht="39.950000000000003" customHeight="1" x14ac:dyDescent="0.15">
      <c r="A9" s="614">
        <f>'5チーム2回戦総当たりスケジュール作業表'!$A8</f>
        <v>3</v>
      </c>
      <c r="B9" s="615">
        <f>'5チーム2回戦総当たりスケジュール作業表'!$B8</f>
        <v>45204</v>
      </c>
      <c r="C9" s="28" t="str">
        <f>'5チーム2回戦総当たりスケジュール作業表'!$P$1</f>
        <v>西</v>
      </c>
      <c r="D9" s="29" t="str">
        <f ca="1">OFFSET('5チーム2回戦総当たりスケジュール作業表'!$B$5,3,1)</f>
        <v>T-25</v>
      </c>
      <c r="E9" s="30" t="s">
        <v>0</v>
      </c>
      <c r="F9" s="31" t="str">
        <f ca="1">OFFSET('5チーム2回戦総当たりスケジュール作業表'!$B$5,3,2)</f>
        <v>飛杉田新地</v>
      </c>
      <c r="G9" s="32" t="str">
        <f ca="1">OFFSET('5チーム2回戦総当たりスケジュール作業表'!$B$5,3,5)</f>
        <v>うなぎ</v>
      </c>
      <c r="H9" s="30" t="s">
        <v>0</v>
      </c>
      <c r="I9" s="32" t="str">
        <f ca="1">OFFSET('5チーム2回戦総当たりスケジュール作業表'!$B$5,3,6)</f>
        <v>PURE</v>
      </c>
      <c r="J9" s="353" t="str">
        <f ca="1">OFFSET('5チーム2回戦総当たりスケジュール作業表'!$B$5,3,9)</f>
        <v>Etelia</v>
      </c>
    </row>
    <row r="10" spans="1:14" ht="24.95" hidden="1" customHeight="1" x14ac:dyDescent="0.15">
      <c r="A10" s="614"/>
      <c r="B10" s="615"/>
      <c r="C10" s="28" t="str">
        <f>'5チーム2回戦総当たりスケジュール作業表'!$P$1</f>
        <v>西</v>
      </c>
      <c r="D10" s="33">
        <f ca="1">OFFSET('5チーム2回戦総当たりスケジュール作業表'!$B$5,3,3)</f>
        <v>0</v>
      </c>
      <c r="E10" s="34"/>
      <c r="F10" s="35">
        <f ca="1">OFFSET('5チーム2回戦総当たりスケジュール作業表'!$B$5,3,4)</f>
        <v>0</v>
      </c>
      <c r="G10" s="36">
        <f ca="1">OFFSET('5チーム2回戦総当たりスケジュール作業表'!$B$5,3,7)</f>
        <v>0</v>
      </c>
      <c r="H10" s="34"/>
      <c r="I10" s="36">
        <f ca="1">OFFSET('5チーム2回戦総当たりスケジュール作業表'!$B$5,3,8)</f>
        <v>0</v>
      </c>
      <c r="J10" s="353" t="e">
        <f ca="1">IF(#REF!=0,0,OFFSET('5チーム2回戦総当たりスケジュール作業表'!$B$5,3,11))</f>
        <v>#REF!</v>
      </c>
    </row>
    <row r="11" spans="1:14" ht="39.950000000000003" customHeight="1" x14ac:dyDescent="0.15">
      <c r="A11" s="608">
        <f>'5チーム2回戦総当たりスケジュール作業表'!$A9</f>
        <v>4</v>
      </c>
      <c r="B11" s="609">
        <f>'5チーム2回戦総当たりスケジュール作業表'!$B9</f>
        <v>45211</v>
      </c>
      <c r="C11" s="330" t="str">
        <f>'5チーム2回戦総当たりスケジュール作業表'!$P$1</f>
        <v>西</v>
      </c>
      <c r="D11" s="331" t="str">
        <f ca="1">OFFSET('5チーム2回戦総当たりスケジュール作業表'!$B$5,4,1)</f>
        <v>Etelia</v>
      </c>
      <c r="E11" s="332" t="s">
        <v>0</v>
      </c>
      <c r="F11" s="333" t="str">
        <f ca="1">OFFSET('5チーム2回戦総当たりスケジュール作業表'!$B$5,4,2)</f>
        <v>PURE</v>
      </c>
      <c r="G11" s="334" t="str">
        <f ca="1">OFFSET('5チーム2回戦総当たりスケジュール作業表'!$B$5,4,5)</f>
        <v>うなぎ</v>
      </c>
      <c r="H11" s="332" t="s">
        <v>0</v>
      </c>
      <c r="I11" s="334" t="str">
        <f ca="1">OFFSET('5チーム2回戦総当たりスケジュール作業表'!$B$5,4,6)</f>
        <v>T-25</v>
      </c>
      <c r="J11" s="353" t="str">
        <f ca="1">OFFSET('5チーム2回戦総当たりスケジュール作業表'!$B$5,4,9)</f>
        <v>飛杉田新地</v>
      </c>
    </row>
    <row r="12" spans="1:14" ht="24.95" hidden="1" customHeight="1" x14ac:dyDescent="0.15">
      <c r="A12" s="608"/>
      <c r="B12" s="609"/>
      <c r="C12" s="330" t="str">
        <f>'5チーム2回戦総当たりスケジュール作業表'!$P$1</f>
        <v>西</v>
      </c>
      <c r="D12" s="335">
        <f ca="1">OFFSET('5チーム2回戦総当たりスケジュール作業表'!$B$5,4,3)</f>
        <v>0</v>
      </c>
      <c r="E12" s="336"/>
      <c r="F12" s="337">
        <f ca="1">OFFSET('5チーム2回戦総当たりスケジュール作業表'!$B$5,4,4)</f>
        <v>0</v>
      </c>
      <c r="G12" s="338">
        <f ca="1">OFFSET('5チーム2回戦総当たりスケジュール作業表'!$B$5,4,7)</f>
        <v>0</v>
      </c>
      <c r="H12" s="336"/>
      <c r="I12" s="338">
        <f ca="1">OFFSET('5チーム2回戦総当たりスケジュール作業表'!$B$5,4,8)</f>
        <v>0</v>
      </c>
      <c r="J12" s="353" t="e">
        <f ca="1">IF(#REF!=0,0,OFFSET('5チーム2回戦総当たりスケジュール作業表'!$B$5,4,11))</f>
        <v>#REF!</v>
      </c>
    </row>
    <row r="13" spans="1:14" ht="39.950000000000003" customHeight="1" x14ac:dyDescent="0.15">
      <c r="A13" s="617">
        <f>'5チーム2回戦総当たりスケジュール作業表'!$A10</f>
        <v>5</v>
      </c>
      <c r="B13" s="606">
        <f>'5チーム2回戦総当たりスケジュール作業表'!$B10</f>
        <v>45218</v>
      </c>
      <c r="C13" s="28" t="str">
        <f>'5チーム2回戦総当たりスケジュール作業表'!$P$1</f>
        <v>西</v>
      </c>
      <c r="D13" s="29" t="str">
        <f ca="1">OFFSET('5チーム2回戦総当たりスケジュール作業表'!$B$5,5,1)</f>
        <v>飛杉田新地</v>
      </c>
      <c r="E13" s="30" t="s">
        <v>0</v>
      </c>
      <c r="F13" s="31" t="str">
        <f ca="1">OFFSET('5チーム2回戦総当たりスケジュール作業表'!$B$5,5,2)</f>
        <v>PURE</v>
      </c>
      <c r="G13" s="32" t="str">
        <f ca="1">OFFSET('5チーム2回戦総当たりスケジュール作業表'!$B$5,5,5)</f>
        <v>Etelia</v>
      </c>
      <c r="H13" s="30" t="s">
        <v>0</v>
      </c>
      <c r="I13" s="32" t="str">
        <f ca="1">OFFSET('5チーム2回戦総当たりスケジュール作業表'!$B$5,5,6)</f>
        <v>うなぎ</v>
      </c>
      <c r="J13" s="353" t="str">
        <f ca="1">OFFSET('5チーム2回戦総当たりスケジュール作業表'!$B$5,5,9)</f>
        <v>T-25</v>
      </c>
    </row>
    <row r="14" spans="1:14" ht="24.95" hidden="1" customHeight="1" x14ac:dyDescent="0.15">
      <c r="A14" s="618"/>
      <c r="B14" s="607"/>
      <c r="C14" s="28" t="str">
        <f>'5チーム2回戦総当たりスケジュール作業表'!$P$1</f>
        <v>西</v>
      </c>
      <c r="D14" s="29">
        <f ca="1">OFFSET('5チーム2回戦総当たりスケジュール作業表'!$B$5,5,3)</f>
        <v>0</v>
      </c>
      <c r="E14" s="30"/>
      <c r="F14" s="31">
        <f ca="1">OFFSET('5チーム2回戦総当たりスケジュール作業表'!$B$5,5,4)</f>
        <v>0</v>
      </c>
      <c r="G14" s="32">
        <f ca="1">OFFSET('5チーム2回戦総当たりスケジュール作業表'!$B$5,5,7)</f>
        <v>0</v>
      </c>
      <c r="H14" s="30"/>
      <c r="I14" s="32">
        <f ca="1">OFFSET('5チーム2回戦総当たりスケジュール作業表'!$B$5,5,8)</f>
        <v>0</v>
      </c>
      <c r="J14" s="353" t="e">
        <f ca="1">IF(#REF!=0,0,OFFSET('5チーム2回戦総当たりスケジュール作業表'!$B$5,4,11))</f>
        <v>#REF!</v>
      </c>
    </row>
    <row r="15" spans="1:14" ht="39.950000000000003" customHeight="1" x14ac:dyDescent="0.15">
      <c r="A15" s="608">
        <f>'5チーム2回戦総当たりスケジュール作業表'!$A11</f>
        <v>6</v>
      </c>
      <c r="B15" s="609">
        <f>'5チーム2回戦総当たりスケジュール作業表'!$B11</f>
        <v>45225</v>
      </c>
      <c r="C15" s="357" t="str">
        <f>'5チーム2回戦総当たりスケジュール作業表'!$P$1</f>
        <v>西</v>
      </c>
      <c r="D15" s="358" t="str">
        <f ca="1">OFFSET('5チーム2回戦総当たりスケジュール作業表'!$B$5,6,1)</f>
        <v>Etelia</v>
      </c>
      <c r="E15" s="359" t="s">
        <v>0</v>
      </c>
      <c r="F15" s="360" t="str">
        <f ca="1">OFFSET('5チーム2回戦総当たりスケジュール作業表'!$B$5,6,2)</f>
        <v>T-25</v>
      </c>
      <c r="G15" s="361" t="str">
        <f ca="1">OFFSET('5チーム2回戦総当たりスケジュール作業表'!$B$5,6,5)</f>
        <v>飛杉田新地</v>
      </c>
      <c r="H15" s="359" t="s">
        <v>0</v>
      </c>
      <c r="I15" s="361" t="str">
        <f ca="1">OFFSET('5チーム2回戦総当たりスケジュール作業表'!$B$5,6,6)</f>
        <v>うなぎ</v>
      </c>
      <c r="J15" s="362" t="str">
        <f ca="1">OFFSET('5チーム2回戦総当たりスケジュール作業表'!$B$5,6,9)</f>
        <v>PURE</v>
      </c>
    </row>
    <row r="16" spans="1:14" ht="24.95" hidden="1" customHeight="1" x14ac:dyDescent="0.15">
      <c r="A16" s="608"/>
      <c r="B16" s="609"/>
      <c r="C16" s="339" t="str">
        <f>'5チーム2回戦総当たりスケジュール作業表'!$P$1</f>
        <v>西</v>
      </c>
      <c r="D16" s="340">
        <f ca="1">OFFSET('5チーム2回戦総当たりスケジュール作業表'!$B$5,1,3)</f>
        <v>0</v>
      </c>
      <c r="E16" s="341"/>
      <c r="F16" s="342">
        <f ca="1">OFFSET('5チーム2回戦総当たりスケジュール作業表'!$B$5,1,4)</f>
        <v>0</v>
      </c>
      <c r="G16" s="343">
        <f ca="1">OFFSET('5チーム2回戦総当たりスケジュール作業表'!$B$5,1,7)</f>
        <v>0</v>
      </c>
      <c r="H16" s="341"/>
      <c r="I16" s="343">
        <f ca="1">OFFSET('5チーム2回戦総当たりスケジュール作業表'!$B$5,1,8)</f>
        <v>0</v>
      </c>
      <c r="J16" s="352" t="e">
        <f ca="1">IF(#REF!=0,0,OFFSET('5チーム2回戦総当たりスケジュール作業表'!$B$5,1,11))</f>
        <v>#REF!</v>
      </c>
    </row>
    <row r="17" spans="1:10" ht="39.950000000000003" customHeight="1" x14ac:dyDescent="0.15">
      <c r="A17" s="614">
        <f>'5チーム2回戦総当たりスケジュール作業表'!$A12</f>
        <v>7</v>
      </c>
      <c r="B17" s="615">
        <f>'5チーム2回戦総当たりスケジュール作業表'!$B12</f>
        <v>45232</v>
      </c>
      <c r="C17" s="28" t="str">
        <f>'5チーム2回戦総当たりスケジュール作業表'!$P$1</f>
        <v>西</v>
      </c>
      <c r="D17" s="381" t="str">
        <f ca="1">OFFSET('5チーム2回戦総当たりスケジュール作業表'!$B$5,7,1)</f>
        <v>飛杉田新地</v>
      </c>
      <c r="E17" s="382" t="s">
        <v>0</v>
      </c>
      <c r="F17" s="383" t="str">
        <f ca="1">OFFSET('5チーム2回戦総当たりスケジュール作業表'!$B$5,7,2)</f>
        <v>T-25</v>
      </c>
      <c r="G17" s="32" t="str">
        <f ca="1">OFFSET('5チーム2回戦総当たりスケジュール作業表'!$B$5,7,5)</f>
        <v>PURE</v>
      </c>
      <c r="H17" s="30" t="s">
        <v>0</v>
      </c>
      <c r="I17" s="32" t="str">
        <f ca="1">OFFSET('5チーム2回戦総当たりスケジュール作業表'!$B$5,7,6)</f>
        <v>うなぎ</v>
      </c>
      <c r="J17" s="353" t="str">
        <f ca="1">OFFSET('5チーム2回戦総当たりスケジュール作業表'!$B$5,7,9)</f>
        <v>Etelia</v>
      </c>
    </row>
    <row r="18" spans="1:10" ht="24.95" hidden="1" customHeight="1" x14ac:dyDescent="0.15">
      <c r="A18" s="614"/>
      <c r="B18" s="615"/>
      <c r="C18" s="28" t="str">
        <f>'5チーム2回戦総当たりスケジュール作業表'!$P$1</f>
        <v>西</v>
      </c>
      <c r="D18" s="29">
        <f ca="1">OFFSET('5チーム2回戦総当たりスケジュール作業表'!$B$5,2,3)</f>
        <v>0</v>
      </c>
      <c r="E18" s="30"/>
      <c r="F18" s="31">
        <f ca="1">OFFSET('5チーム2回戦総当たりスケジュール作業表'!$B$5,2,4)</f>
        <v>0</v>
      </c>
      <c r="G18" s="32">
        <f ca="1">OFFSET('5チーム2回戦総当たりスケジュール作業表'!$B$5,2,7)</f>
        <v>0</v>
      </c>
      <c r="H18" s="30"/>
      <c r="I18" s="32">
        <f ca="1">OFFSET('5チーム2回戦総当たりスケジュール作業表'!$B$5,2,8)</f>
        <v>0</v>
      </c>
      <c r="J18" s="353" t="e">
        <f ca="1">IF(#REF!=0,0,OFFSET('5チーム2回戦総当たりスケジュール作業表'!$B$5,2,11))</f>
        <v>#REF!</v>
      </c>
    </row>
    <row r="19" spans="1:10" ht="39.950000000000003" customHeight="1" x14ac:dyDescent="0.15">
      <c r="A19" s="608">
        <f>'5チーム2回戦総当たりスケジュール作業表'!$A13</f>
        <v>8</v>
      </c>
      <c r="B19" s="609">
        <f>'5チーム2回戦総当たりスケジュール作業表'!$B13</f>
        <v>45239</v>
      </c>
      <c r="C19" s="330" t="str">
        <f>'5チーム2回戦総当たりスケジュール作業表'!$P$1</f>
        <v>西</v>
      </c>
      <c r="D19" s="331" t="str">
        <f ca="1">OFFSET('5チーム2回戦総当たりスケジュール作業表'!$B$5,8,1)</f>
        <v>T-25</v>
      </c>
      <c r="E19" s="332" t="s">
        <v>0</v>
      </c>
      <c r="F19" s="333" t="str">
        <f ca="1">OFFSET('5チーム2回戦総当たりスケジュール作業表'!$B$5,8,2)</f>
        <v>PURE</v>
      </c>
      <c r="G19" s="334" t="str">
        <f ca="1">OFFSET('5チーム2回戦総当たりスケジュール作業表'!$B$5,8,5)</f>
        <v>飛杉田新地</v>
      </c>
      <c r="H19" s="332" t="s">
        <v>0</v>
      </c>
      <c r="I19" s="334" t="str">
        <f ca="1">OFFSET('5チーム2回戦総当たりスケジュール作業表'!$B$5,8,6)</f>
        <v>Etelia</v>
      </c>
      <c r="J19" s="353" t="str">
        <f ca="1">OFFSET('5チーム2回戦総当たりスケジュール作業表'!$B$5,8,9)</f>
        <v>うなぎ</v>
      </c>
    </row>
    <row r="20" spans="1:10" ht="24.95" hidden="1" customHeight="1" x14ac:dyDescent="0.15">
      <c r="A20" s="608"/>
      <c r="B20" s="609"/>
      <c r="C20" s="330" t="str">
        <f>'5チーム2回戦総当たりスケジュール作業表'!$P$1</f>
        <v>西</v>
      </c>
      <c r="D20" s="335">
        <f ca="1">OFFSET('5チーム2回戦総当たりスケジュール作業表'!$B$5,3,3)</f>
        <v>0</v>
      </c>
      <c r="E20" s="336"/>
      <c r="F20" s="337">
        <f ca="1">OFFSET('5チーム2回戦総当たりスケジュール作業表'!$B$5,3,4)</f>
        <v>0</v>
      </c>
      <c r="G20" s="338">
        <f ca="1">OFFSET('5チーム2回戦総当たりスケジュール作業表'!$B$5,3,7)</f>
        <v>0</v>
      </c>
      <c r="H20" s="336"/>
      <c r="I20" s="338">
        <f ca="1">OFFSET('5チーム2回戦総当たりスケジュール作業表'!$B$5,3,8)</f>
        <v>0</v>
      </c>
      <c r="J20" s="353" t="e">
        <f ca="1">IF(#REF!=0,0,OFFSET('5チーム2回戦総当たりスケジュール作業表'!$B$5,3,11))</f>
        <v>#REF!</v>
      </c>
    </row>
    <row r="21" spans="1:10" ht="39.950000000000003" customHeight="1" x14ac:dyDescent="0.15">
      <c r="A21" s="614">
        <f>'5チーム2回戦総当たりスケジュール作業表'!$A14</f>
        <v>9</v>
      </c>
      <c r="B21" s="615">
        <f>'5チーム2回戦総当たりスケジュール作業表'!$B14</f>
        <v>45246</v>
      </c>
      <c r="C21" s="28" t="str">
        <f>'5チーム2回戦総当たりスケジュール作業表'!$P$1</f>
        <v>西</v>
      </c>
      <c r="D21" s="29" t="str">
        <f ca="1">OFFSET('5チーム2回戦総当たりスケジュール作業表'!$B$5,9,1)</f>
        <v>T-25</v>
      </c>
      <c r="E21" s="30" t="s">
        <v>0</v>
      </c>
      <c r="F21" s="31" t="str">
        <f ca="1">OFFSET('5チーム2回戦総当たりスケジュール作業表'!$B$5,9,2)</f>
        <v>うなぎ</v>
      </c>
      <c r="G21" s="32" t="str">
        <f ca="1">OFFSET('5チーム2回戦総当たりスケジュール作業表'!$B$5,9,5)</f>
        <v>PURE</v>
      </c>
      <c r="H21" s="30" t="s">
        <v>0</v>
      </c>
      <c r="I21" s="32" t="str">
        <f ca="1">OFFSET('5チーム2回戦総当たりスケジュール作業表'!$B$5,9,6)</f>
        <v>Etelia</v>
      </c>
      <c r="J21" s="353" t="str">
        <f ca="1">OFFSET('5チーム2回戦総当たりスケジュール作業表'!$B$5,9,9)</f>
        <v>飛杉田新地</v>
      </c>
    </row>
    <row r="22" spans="1:10" ht="24.95" hidden="1" customHeight="1" x14ac:dyDescent="0.15">
      <c r="A22" s="614"/>
      <c r="B22" s="615"/>
      <c r="C22" s="28" t="str">
        <f>'5チーム2回戦総当たりスケジュール作業表'!$P$1</f>
        <v>西</v>
      </c>
      <c r="D22" s="29">
        <f ca="1">OFFSET('5チーム2回戦総当たりスケジュール作業表'!$B$5,4,3)</f>
        <v>0</v>
      </c>
      <c r="E22" s="30"/>
      <c r="F22" s="31">
        <f ca="1">OFFSET('5チーム2回戦総当たりスケジュール作業表'!$B$5,4,4)</f>
        <v>0</v>
      </c>
      <c r="G22" s="32">
        <f ca="1">OFFSET('5チーム2回戦総当たりスケジュール作業表'!$B$5,4,7)</f>
        <v>0</v>
      </c>
      <c r="H22" s="30"/>
      <c r="I22" s="32">
        <f ca="1">OFFSET('5チーム2回戦総当たりスケジュール作業表'!$B$5,4,8)</f>
        <v>0</v>
      </c>
      <c r="J22" s="353" t="e">
        <f ca="1">IF(#REF!=0,0,OFFSET('5チーム2回戦総当たりスケジュール作業表'!$B$5,4,11))</f>
        <v>#REF!</v>
      </c>
    </row>
    <row r="23" spans="1:10" ht="39.950000000000003" customHeight="1" thickBot="1" x14ac:dyDescent="0.2">
      <c r="A23" s="344">
        <f>'5チーム2回戦総当たりスケジュール作業表'!$A15</f>
        <v>10</v>
      </c>
      <c r="B23" s="345">
        <f>'5チーム2回戦総当たりスケジュール作業表'!$B15</f>
        <v>45253</v>
      </c>
      <c r="C23" s="346" t="str">
        <f>'5チーム2回戦総当たりスケジュール作業表'!$P$1</f>
        <v>西</v>
      </c>
      <c r="D23" s="347" t="str">
        <f ca="1">OFFSET('5チーム2回戦総当たりスケジュール作業表'!$B$5,10,1)</f>
        <v>PURE</v>
      </c>
      <c r="E23" s="348" t="s">
        <v>0</v>
      </c>
      <c r="F23" s="349" t="str">
        <f ca="1">OFFSET('5チーム2回戦総当たりスケジュール作業表'!$B$5,10,2)</f>
        <v>飛杉田新地</v>
      </c>
      <c r="G23" s="350" t="str">
        <f ca="1">OFFSET('5チーム2回戦総当たりスケジュール作業表'!$B$5,10,5)</f>
        <v>うなぎ</v>
      </c>
      <c r="H23" s="348" t="s">
        <v>0</v>
      </c>
      <c r="I23" s="350" t="str">
        <f ca="1">OFFSET('5チーム2回戦総当たりスケジュール作業表'!$B$5,10,6)</f>
        <v>Etelia</v>
      </c>
      <c r="J23" s="354" t="str">
        <f ca="1">OFFSET('5チーム2回戦総当たりスケジュール作業表'!$B$5,10,9)</f>
        <v>T-25</v>
      </c>
    </row>
    <row r="24" spans="1:10" ht="15" customHeight="1" x14ac:dyDescent="0.15">
      <c r="B24" s="11"/>
    </row>
    <row r="25" spans="1:10" s="15" customFormat="1" ht="15.95" customHeight="1" x14ac:dyDescent="0.15">
      <c r="A25" s="14"/>
      <c r="D25" s="95"/>
      <c r="E25" s="16"/>
      <c r="F25" s="17"/>
      <c r="G25" s="14"/>
      <c r="H25" s="14"/>
      <c r="I25" s="14"/>
      <c r="J25" s="355">
        <v>45188</v>
      </c>
    </row>
    <row r="26" spans="1:10" s="15" customFormat="1" ht="15.95" customHeight="1" x14ac:dyDescent="0.15">
      <c r="A26" s="14"/>
      <c r="D26" s="95"/>
      <c r="E26" s="16"/>
      <c r="F26" s="17"/>
      <c r="G26" s="14"/>
      <c r="H26" s="14"/>
      <c r="I26" s="14"/>
      <c r="J26" s="14"/>
    </row>
    <row r="27" spans="1:10" s="15" customFormat="1" ht="15.95" customHeight="1" x14ac:dyDescent="0.15">
      <c r="A27" s="14"/>
      <c r="D27" s="95"/>
      <c r="E27" s="16"/>
      <c r="F27" s="17"/>
      <c r="G27" s="14"/>
      <c r="H27" s="14"/>
      <c r="I27" s="14"/>
      <c r="J27" s="14"/>
    </row>
    <row r="28" spans="1:10" s="15" customFormat="1" ht="15.95" customHeight="1" x14ac:dyDescent="0.15">
      <c r="A28" s="14"/>
      <c r="D28" s="95"/>
      <c r="E28" s="16"/>
      <c r="F28" s="17"/>
      <c r="G28" s="14"/>
      <c r="H28" s="14"/>
      <c r="I28" s="14"/>
      <c r="J28" s="14"/>
    </row>
    <row r="29" spans="1:10" s="15" customFormat="1" ht="15.95" customHeight="1" x14ac:dyDescent="0.15">
      <c r="A29" s="14"/>
      <c r="D29" s="95"/>
      <c r="E29" s="16"/>
      <c r="F29" s="17"/>
      <c r="G29" s="14"/>
      <c r="H29" s="14"/>
      <c r="I29" s="14"/>
      <c r="J29" s="14"/>
    </row>
    <row r="30" spans="1:10" s="15" customFormat="1" ht="15.95" customHeight="1" x14ac:dyDescent="0.15">
      <c r="A30" s="14"/>
      <c r="D30" s="95"/>
      <c r="E30" s="16"/>
      <c r="F30" s="17"/>
      <c r="G30" s="14"/>
      <c r="H30" s="14"/>
      <c r="I30" s="14"/>
      <c r="J30" s="14"/>
    </row>
    <row r="31" spans="1:10" s="15" customFormat="1" ht="15.95" customHeight="1" x14ac:dyDescent="0.15">
      <c r="A31" s="14"/>
      <c r="D31" s="95"/>
      <c r="E31" s="16"/>
      <c r="F31" s="17"/>
      <c r="G31" s="14"/>
      <c r="H31" s="14"/>
      <c r="I31" s="14"/>
      <c r="J31" s="14"/>
    </row>
    <row r="32" spans="1:10" s="15" customFormat="1" ht="15.95" customHeight="1" x14ac:dyDescent="0.15">
      <c r="A32" s="14"/>
      <c r="D32" s="95"/>
      <c r="E32" s="16"/>
      <c r="F32" s="17"/>
      <c r="G32" s="14"/>
      <c r="H32" s="14"/>
      <c r="I32" s="14"/>
      <c r="J32" s="14"/>
    </row>
  </sheetData>
  <sheetProtection algorithmName="SHA-512" hashValue="+sikZfhLAFVJWa7x0+0nC6vtgc6C75WUWuMiFc5h+yiSweIuTOdKMTiJMNXLB8UXqJ5ejK+N3bVMODJREQxLUA==" saltValue="7gTKrmbGHprNI2zTJR7hkA==" spinCount="100000" sheet="1" scenarios="1" formatCells="0"/>
  <mergeCells count="24">
    <mergeCell ref="A19:A20"/>
    <mergeCell ref="B19:B20"/>
    <mergeCell ref="A21:A22"/>
    <mergeCell ref="B21:B22"/>
    <mergeCell ref="D2:F2"/>
    <mergeCell ref="A17:A18"/>
    <mergeCell ref="B17:B18"/>
    <mergeCell ref="A15:A16"/>
    <mergeCell ref="B15:B16"/>
    <mergeCell ref="A13:A14"/>
    <mergeCell ref="A5:A6"/>
    <mergeCell ref="B5:B6"/>
    <mergeCell ref="A7:A8"/>
    <mergeCell ref="B7:B8"/>
    <mergeCell ref="A9:A10"/>
    <mergeCell ref="B9:B10"/>
    <mergeCell ref="G4:I4"/>
    <mergeCell ref="A1:J1"/>
    <mergeCell ref="B13:B14"/>
    <mergeCell ref="A11:A12"/>
    <mergeCell ref="B11:B12"/>
    <mergeCell ref="A3:F3"/>
    <mergeCell ref="A4:C4"/>
    <mergeCell ref="D4:F4"/>
  </mergeCells>
  <phoneticPr fontId="21"/>
  <printOptions horizontalCentered="1"/>
  <pageMargins left="0.39370078740157483" right="0.39370078740157483" top="0.78740157480314965" bottom="0.27559055118110237" header="0.59055118110236227" footer="0.2362204724409449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2"/>
  <sheetViews>
    <sheetView topLeftCell="A4" zoomScaleNormal="100" workbookViewId="0">
      <selection activeCell="F5" sqref="F5"/>
    </sheetView>
  </sheetViews>
  <sheetFormatPr defaultColWidth="6.85546875" defaultRowHeight="14.25" customHeight="1" x14ac:dyDescent="0.15"/>
  <cols>
    <col min="1" max="1" width="8.7109375" style="10" customWidth="1"/>
    <col min="2" max="2" width="8.7109375" style="12" customWidth="1"/>
    <col min="3" max="3" width="6.7109375" style="12" customWidth="1"/>
    <col min="4" max="4" width="22.7109375" style="12" customWidth="1"/>
    <col min="5" max="5" width="3.28515625" style="12" customWidth="1"/>
    <col min="6" max="6" width="22.7109375" style="12" customWidth="1"/>
    <col min="7" max="7" width="22.7109375" style="13" customWidth="1"/>
    <col min="8" max="8" width="3.28515625" style="13" customWidth="1"/>
    <col min="9" max="9" width="22.7109375" style="13" customWidth="1"/>
    <col min="10" max="10" width="20.7109375" style="13" customWidth="1"/>
    <col min="11" max="16384" width="6.85546875" style="9"/>
  </cols>
  <sheetData>
    <row r="1" spans="1:14" s="314" customFormat="1" ht="30" customHeight="1" x14ac:dyDescent="0.15">
      <c r="A1" s="623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623"/>
      <c r="C1" s="623"/>
      <c r="D1" s="623"/>
      <c r="E1" s="623"/>
      <c r="F1" s="623"/>
      <c r="G1" s="623"/>
      <c r="H1" s="623"/>
      <c r="I1" s="623"/>
      <c r="J1" s="623"/>
      <c r="K1" s="323"/>
      <c r="L1" s="320"/>
      <c r="M1" s="313"/>
      <c r="N1" s="313"/>
    </row>
    <row r="2" spans="1:14" s="319" customFormat="1" ht="25.5" x14ac:dyDescent="0.15">
      <c r="A2" s="321" t="str">
        <f>"★"&amp;'5チーム2回戦総当たりスケジュール作業表'!$C$1&amp;"リーグ"</f>
        <v>★木曜リーグ</v>
      </c>
      <c r="B2" s="40"/>
      <c r="D2" s="622" t="str">
        <f>"《"&amp;'5チーム2回戦総当たりスケジュール作業表'!$E$1&amp;" "&amp;'5チーム2回戦総当たりスケジュール作業表'!$G$1&amp;" "&amp;'5チーム2回戦総当たりスケジュール作業表'!$I$1&amp;"》"</f>
        <v>《2023 4th. Stage (60th.)》</v>
      </c>
      <c r="E2" s="622"/>
      <c r="F2" s="622"/>
      <c r="G2" s="319" t="s">
        <v>116</v>
      </c>
      <c r="I2" s="57"/>
      <c r="J2" s="378" t="str">
        <f>'5チーム2回戦総当たりスケジュール作業表'!$K$1</f>
        <v>Thursday League</v>
      </c>
      <c r="K2" s="328"/>
      <c r="L2" s="329"/>
      <c r="M2" s="70"/>
    </row>
    <row r="3" spans="1:14" ht="6.75" customHeight="1" thickBot="1" x14ac:dyDescent="0.2">
      <c r="A3" s="610"/>
      <c r="B3" s="610"/>
      <c r="C3" s="610"/>
      <c r="D3" s="610"/>
      <c r="E3" s="610"/>
      <c r="F3" s="610"/>
      <c r="G3" s="8"/>
      <c r="H3" s="8"/>
      <c r="I3" s="8"/>
      <c r="J3" s="8"/>
    </row>
    <row r="4" spans="1:14" ht="20.100000000000001" customHeight="1" thickBot="1" x14ac:dyDescent="0.2">
      <c r="A4" s="628" t="str">
        <f>'5チーム2回戦総当たりスケジュール作業表'!$G$1</f>
        <v>4th. Stage</v>
      </c>
      <c r="B4" s="629"/>
      <c r="C4" s="630"/>
      <c r="D4" s="619" t="str">
        <f>'5チーム2回戦総当たりスケジュール作業表'!$C$4&amp;"／"&amp;'5チーム2回戦総当たりスケジュール作業表'!$C$3&amp;'5チーム2回戦総当たりスケジュール作業表'!$D$3</f>
        <v>第1試合／21:10kickoff</v>
      </c>
      <c r="E4" s="620"/>
      <c r="F4" s="621"/>
      <c r="G4" s="619" t="str">
        <f>'5チーム2回戦総当たりスケジュール作業表'!$G$4&amp;"／"&amp;'5チーム2回戦総当たりスケジュール作業表'!$G$3&amp;'5チーム2回戦総当たりスケジュール作業表'!$H$3</f>
        <v>第2試合／22:00kickoff</v>
      </c>
      <c r="H4" s="620"/>
      <c r="I4" s="621"/>
      <c r="J4" s="37" t="s">
        <v>112</v>
      </c>
    </row>
    <row r="5" spans="1:14" ht="35.1" customHeight="1" thickTop="1" x14ac:dyDescent="0.15">
      <c r="A5" s="618">
        <f>'5チーム2回戦総当たりスケジュール作業表'!$A6</f>
        <v>1</v>
      </c>
      <c r="B5" s="607">
        <f>'5チーム2回戦総当たりスケジュール作業表'!$B6</f>
        <v>45190</v>
      </c>
      <c r="C5" s="18" t="str">
        <f>'5チーム2回戦総当たりスケジュール作業表'!$P$1</f>
        <v>西</v>
      </c>
      <c r="D5" s="19" t="str">
        <f ca="1">OFFSET('5チーム2回戦総当たりスケジュール作業表'!$B$5,1,1)</f>
        <v>T-25</v>
      </c>
      <c r="E5" s="20" t="s">
        <v>0</v>
      </c>
      <c r="F5" s="21" t="str">
        <f ca="1">OFFSET('5チーム2回戦総当たりスケジュール作業表'!$B$5,1,2)</f>
        <v>Etelia</v>
      </c>
      <c r="G5" s="22" t="str">
        <f ca="1">OFFSET('5チーム2回戦総当たりスケジュール作業表'!$B$5,1,5)</f>
        <v>うなぎ</v>
      </c>
      <c r="H5" s="20" t="s">
        <v>0</v>
      </c>
      <c r="I5" s="22" t="str">
        <f ca="1">OFFSET('5チーム2回戦総当たりスケジュール作業表'!$B$5,1,6)</f>
        <v>飛杉田新地</v>
      </c>
      <c r="J5" s="351" t="str">
        <f ca="1">OFFSET('5チーム2回戦総当たりスケジュール作業表'!$B$5,1,9)</f>
        <v>PURE</v>
      </c>
    </row>
    <row r="6" spans="1:14" ht="24.95" hidden="1" customHeight="1" x14ac:dyDescent="0.15">
      <c r="A6" s="614"/>
      <c r="B6" s="615"/>
      <c r="C6" s="23" t="s">
        <v>7</v>
      </c>
      <c r="D6" s="24">
        <f ca="1">OFFSET('5チーム2回戦総当たりスケジュール作業表'!$B$5,1,3)</f>
        <v>0</v>
      </c>
      <c r="E6" s="25"/>
      <c r="F6" s="26">
        <f ca="1">OFFSET('5チーム2回戦総当たりスケジュール作業表'!$B$5,1,4)</f>
        <v>0</v>
      </c>
      <c r="G6" s="27">
        <f ca="1">OFFSET('5チーム2回戦総当たりスケジュール作業表'!$B$5,1,7)</f>
        <v>0</v>
      </c>
      <c r="H6" s="25"/>
      <c r="I6" s="27">
        <f ca="1">OFFSET('5チーム2回戦総当たりスケジュール作業表'!$B$5,1,8)</f>
        <v>0</v>
      </c>
      <c r="J6" s="352" t="e">
        <f ca="1">IF(#REF!=0,0,OFFSET('5チーム2回戦総当たりスケジュール作業表'!$B$5,1,11))</f>
        <v>#REF!</v>
      </c>
    </row>
    <row r="7" spans="1:14" ht="35.1" customHeight="1" x14ac:dyDescent="0.15">
      <c r="A7" s="608">
        <f>'5チーム2回戦総当たりスケジュール作業表'!$A7</f>
        <v>2</v>
      </c>
      <c r="B7" s="609">
        <f>'5チーム2回戦総当たりスケジュール作業表'!$B7</f>
        <v>45197</v>
      </c>
      <c r="C7" s="330" t="str">
        <f>'5チーム2回戦総当たりスケジュール作業表'!$P$1</f>
        <v>西</v>
      </c>
      <c r="D7" s="331" t="str">
        <f ca="1">OFFSET('5チーム2回戦総当たりスケジュール作業表'!$B$5,2,1)</f>
        <v>Etelia</v>
      </c>
      <c r="E7" s="332" t="s">
        <v>0</v>
      </c>
      <c r="F7" s="333" t="str">
        <f ca="1">OFFSET('5チーム2回戦総当たりスケジュール作業表'!$B$5,2,2)</f>
        <v>飛杉田新地</v>
      </c>
      <c r="G7" s="334" t="str">
        <f ca="1">OFFSET('5チーム2回戦総当たりスケジュール作業表'!$B$5,2,5)</f>
        <v>PURE</v>
      </c>
      <c r="H7" s="332" t="s">
        <v>0</v>
      </c>
      <c r="I7" s="334" t="str">
        <f ca="1">OFFSET('5チーム2回戦総当たりスケジュール作業表'!$B$5,2,6)</f>
        <v>T-25</v>
      </c>
      <c r="J7" s="353" t="str">
        <f ca="1">OFFSET('5チーム2回戦総当たりスケジュール作業表'!$B$5,2,9)</f>
        <v>うなぎ</v>
      </c>
    </row>
    <row r="8" spans="1:14" ht="24.95" hidden="1" customHeight="1" x14ac:dyDescent="0.15">
      <c r="A8" s="608"/>
      <c r="B8" s="609"/>
      <c r="C8" s="330" t="str">
        <f>'5チーム2回戦総当たりスケジュール作業表'!$P$1</f>
        <v>西</v>
      </c>
      <c r="D8" s="335">
        <f ca="1">OFFSET('5チーム2回戦総当たりスケジュール作業表'!$B$5,2,3)</f>
        <v>0</v>
      </c>
      <c r="E8" s="336"/>
      <c r="F8" s="337">
        <f ca="1">OFFSET('5チーム2回戦総当たりスケジュール作業表'!$B$5,2,4)</f>
        <v>0</v>
      </c>
      <c r="G8" s="338">
        <f ca="1">OFFSET('5チーム2回戦総当たりスケジュール作業表'!$B$5,2,7)</f>
        <v>0</v>
      </c>
      <c r="H8" s="336"/>
      <c r="I8" s="338">
        <f ca="1">OFFSET('5チーム2回戦総当たりスケジュール作業表'!$B$5,2,8)</f>
        <v>0</v>
      </c>
      <c r="J8" s="353" t="e">
        <f ca="1">IF(#REF!=0,0,OFFSET('5チーム2回戦総当たりスケジュール作業表'!$B$5,2,11))</f>
        <v>#REF!</v>
      </c>
    </row>
    <row r="9" spans="1:14" ht="35.1" customHeight="1" x14ac:dyDescent="0.15">
      <c r="A9" s="614">
        <f>'5チーム2回戦総当たりスケジュール作業表'!$A8</f>
        <v>3</v>
      </c>
      <c r="B9" s="615">
        <f>'5チーム2回戦総当たりスケジュール作業表'!$B8</f>
        <v>45204</v>
      </c>
      <c r="C9" s="28" t="str">
        <f>'5チーム2回戦総当たりスケジュール作業表'!$P$1</f>
        <v>西</v>
      </c>
      <c r="D9" s="29" t="str">
        <f ca="1">OFFSET('5チーム2回戦総当たりスケジュール作業表'!$B$5,3,1)</f>
        <v>T-25</v>
      </c>
      <c r="E9" s="30" t="s">
        <v>0</v>
      </c>
      <c r="F9" s="31" t="str">
        <f ca="1">OFFSET('5チーム2回戦総当たりスケジュール作業表'!$B$5,3,2)</f>
        <v>飛杉田新地</v>
      </c>
      <c r="G9" s="32" t="str">
        <f ca="1">OFFSET('5チーム2回戦総当たりスケジュール作業表'!$B$5,3,5)</f>
        <v>うなぎ</v>
      </c>
      <c r="H9" s="30" t="s">
        <v>0</v>
      </c>
      <c r="I9" s="32" t="str">
        <f ca="1">OFFSET('5チーム2回戦総当たりスケジュール作業表'!$B$5,3,6)</f>
        <v>PURE</v>
      </c>
      <c r="J9" s="353" t="str">
        <f ca="1">OFFSET('5チーム2回戦総当たりスケジュール作業表'!$B$5,3,9)</f>
        <v>Etelia</v>
      </c>
    </row>
    <row r="10" spans="1:14" ht="24.95" hidden="1" customHeight="1" x14ac:dyDescent="0.15">
      <c r="A10" s="614"/>
      <c r="B10" s="615"/>
      <c r="C10" s="28" t="str">
        <f>'5チーム2回戦総当たりスケジュール作業表'!$P$1</f>
        <v>西</v>
      </c>
      <c r="D10" s="33">
        <f ca="1">OFFSET('5チーム2回戦総当たりスケジュール作業表'!$B$5,3,3)</f>
        <v>0</v>
      </c>
      <c r="E10" s="34"/>
      <c r="F10" s="35">
        <f ca="1">OFFSET('5チーム2回戦総当たりスケジュール作業表'!$B$5,3,4)</f>
        <v>0</v>
      </c>
      <c r="G10" s="36">
        <f ca="1">OFFSET('5チーム2回戦総当たりスケジュール作業表'!$B$5,3,7)</f>
        <v>0</v>
      </c>
      <c r="H10" s="34"/>
      <c r="I10" s="36">
        <f ca="1">OFFSET('5チーム2回戦総当たりスケジュール作業表'!$B$5,3,8)</f>
        <v>0</v>
      </c>
      <c r="J10" s="353" t="e">
        <f ca="1">IF(#REF!=0,0,OFFSET('5チーム2回戦総当たりスケジュール作業表'!$B$5,3,11))</f>
        <v>#REF!</v>
      </c>
    </row>
    <row r="11" spans="1:14" ht="35.1" customHeight="1" x14ac:dyDescent="0.15">
      <c r="A11" s="608">
        <f>'5チーム2回戦総当たりスケジュール作業表'!$A9</f>
        <v>4</v>
      </c>
      <c r="B11" s="609">
        <f>'5チーム2回戦総当たりスケジュール作業表'!$B9</f>
        <v>45211</v>
      </c>
      <c r="C11" s="330" t="str">
        <f>'5チーム2回戦総当たりスケジュール作業表'!$P$1</f>
        <v>西</v>
      </c>
      <c r="D11" s="331" t="str">
        <f ca="1">OFFSET('5チーム2回戦総当たりスケジュール作業表'!$B$5,4,1)</f>
        <v>Etelia</v>
      </c>
      <c r="E11" s="332" t="s">
        <v>0</v>
      </c>
      <c r="F11" s="333" t="str">
        <f ca="1">OFFSET('5チーム2回戦総当たりスケジュール作業表'!$B$5,4,2)</f>
        <v>PURE</v>
      </c>
      <c r="G11" s="334" t="str">
        <f ca="1">OFFSET('5チーム2回戦総当たりスケジュール作業表'!$B$5,4,5)</f>
        <v>うなぎ</v>
      </c>
      <c r="H11" s="332" t="s">
        <v>0</v>
      </c>
      <c r="I11" s="334" t="str">
        <f ca="1">OFFSET('5チーム2回戦総当たりスケジュール作業表'!$B$5,4,6)</f>
        <v>T-25</v>
      </c>
      <c r="J11" s="353" t="str">
        <f ca="1">OFFSET('5チーム2回戦総当たりスケジュール作業表'!$B$5,4,9)</f>
        <v>飛杉田新地</v>
      </c>
    </row>
    <row r="12" spans="1:14" ht="24.95" hidden="1" customHeight="1" x14ac:dyDescent="0.15">
      <c r="A12" s="608"/>
      <c r="B12" s="609"/>
      <c r="C12" s="330" t="str">
        <f>'5チーム2回戦総当たりスケジュール作業表'!$P$1</f>
        <v>西</v>
      </c>
      <c r="D12" s="335">
        <f ca="1">OFFSET('5チーム2回戦総当たりスケジュール作業表'!$B$5,4,3)</f>
        <v>0</v>
      </c>
      <c r="E12" s="336"/>
      <c r="F12" s="337">
        <f ca="1">OFFSET('5チーム2回戦総当たりスケジュール作業表'!$B$5,4,4)</f>
        <v>0</v>
      </c>
      <c r="G12" s="338">
        <f ca="1">OFFSET('5チーム2回戦総当たりスケジュール作業表'!$B$5,4,7)</f>
        <v>0</v>
      </c>
      <c r="H12" s="336"/>
      <c r="I12" s="338">
        <f ca="1">OFFSET('5チーム2回戦総当たりスケジュール作業表'!$B$5,4,8)</f>
        <v>0</v>
      </c>
      <c r="J12" s="353" t="e">
        <f ca="1">IF(#REF!=0,0,OFFSET('5チーム2回戦総当たりスケジュール作業表'!$B$5,4,11))</f>
        <v>#REF!</v>
      </c>
    </row>
    <row r="13" spans="1:14" ht="35.1" customHeight="1" x14ac:dyDescent="0.15">
      <c r="A13" s="617">
        <f>'5チーム2回戦総当たりスケジュール作業表'!$A10</f>
        <v>5</v>
      </c>
      <c r="B13" s="606">
        <f>'5チーム2回戦総当たりスケジュール作業表'!$B10</f>
        <v>45218</v>
      </c>
      <c r="C13" s="28" t="str">
        <f>'5チーム2回戦総当たりスケジュール作業表'!$P$1</f>
        <v>西</v>
      </c>
      <c r="D13" s="29" t="str">
        <f ca="1">OFFSET('5チーム2回戦総当たりスケジュール作業表'!$B$5,5,1)</f>
        <v>飛杉田新地</v>
      </c>
      <c r="E13" s="30" t="s">
        <v>0</v>
      </c>
      <c r="F13" s="31" t="str">
        <f ca="1">OFFSET('5チーム2回戦総当たりスケジュール作業表'!$B$5,5,2)</f>
        <v>PURE</v>
      </c>
      <c r="G13" s="32" t="str">
        <f ca="1">OFFSET('5チーム2回戦総当たりスケジュール作業表'!$B$5,5,5)</f>
        <v>Etelia</v>
      </c>
      <c r="H13" s="30" t="s">
        <v>0</v>
      </c>
      <c r="I13" s="32" t="str">
        <f ca="1">OFFSET('5チーム2回戦総当たりスケジュール作業表'!$B$5,5,6)</f>
        <v>うなぎ</v>
      </c>
      <c r="J13" s="353" t="str">
        <f ca="1">OFFSET('5チーム2回戦総当たりスケジュール作業表'!$B$5,5,9)</f>
        <v>T-25</v>
      </c>
    </row>
    <row r="14" spans="1:14" ht="24.95" hidden="1" customHeight="1" x14ac:dyDescent="0.15">
      <c r="A14" s="618"/>
      <c r="B14" s="607"/>
      <c r="C14" s="28" t="str">
        <f>'5チーム2回戦総当たりスケジュール作業表'!$P$1</f>
        <v>西</v>
      </c>
      <c r="D14" s="29">
        <f ca="1">OFFSET('5チーム2回戦総当たりスケジュール作業表'!$B$5,5,3)</f>
        <v>0</v>
      </c>
      <c r="E14" s="30"/>
      <c r="F14" s="31">
        <f ca="1">OFFSET('5チーム2回戦総当たりスケジュール作業表'!$B$5,5,4)</f>
        <v>0</v>
      </c>
      <c r="G14" s="32">
        <f ca="1">OFFSET('5チーム2回戦総当たりスケジュール作業表'!$B$5,5,7)</f>
        <v>0</v>
      </c>
      <c r="H14" s="30"/>
      <c r="I14" s="32">
        <f ca="1">OFFSET('5チーム2回戦総当たりスケジュール作業表'!$B$5,5,8)</f>
        <v>0</v>
      </c>
      <c r="J14" s="353" t="e">
        <f ca="1">IF(#REF!=0,0,OFFSET('5チーム2回戦総当たりスケジュール作業表'!$B$5,4,11))</f>
        <v>#REF!</v>
      </c>
    </row>
    <row r="15" spans="1:14" ht="35.1" customHeight="1" x14ac:dyDescent="0.15">
      <c r="A15" s="624">
        <f>'5チーム2回戦総当たりスケジュール作業表'!$A11</f>
        <v>6</v>
      </c>
      <c r="B15" s="626">
        <f>'5チーム2回戦総当たりスケジュール作業表'!$B11</f>
        <v>45225</v>
      </c>
      <c r="C15" s="330" t="str">
        <f>'5チーム2回戦総当たりスケジュール作業表'!$P$1</f>
        <v>西</v>
      </c>
      <c r="D15" s="331" t="str">
        <f ca="1">OFFSET('5チーム2回戦総当たりスケジュール作業表'!$B$5,6,1)</f>
        <v>Etelia</v>
      </c>
      <c r="E15" s="332" t="s">
        <v>0</v>
      </c>
      <c r="F15" s="333" t="str">
        <f ca="1">OFFSET('5チーム2回戦総当たりスケジュール作業表'!$B$5,6,2)</f>
        <v>T-25</v>
      </c>
      <c r="G15" s="334" t="str">
        <f ca="1">OFFSET('5チーム2回戦総当たりスケジュール作業表'!$B$5,6,5)</f>
        <v>飛杉田新地</v>
      </c>
      <c r="H15" s="332" t="s">
        <v>0</v>
      </c>
      <c r="I15" s="334" t="str">
        <f ca="1">OFFSET('5チーム2回戦総当たりスケジュール作業表'!$B$5,6,6)</f>
        <v>うなぎ</v>
      </c>
      <c r="J15" s="353" t="str">
        <f ca="1">OFFSET('5チーム2回戦総当たりスケジュール作業表'!$B$5,6,9)</f>
        <v>PURE</v>
      </c>
    </row>
    <row r="16" spans="1:14" ht="24.95" hidden="1" customHeight="1" x14ac:dyDescent="0.15">
      <c r="A16" s="625"/>
      <c r="B16" s="627"/>
      <c r="C16" s="339" t="str">
        <f>'5チーム2回戦総当たりスケジュール作業表'!$P$1</f>
        <v>西</v>
      </c>
      <c r="D16" s="340">
        <f ca="1">OFFSET('5チーム2回戦総当たりスケジュール作業表'!$B$5,1,3)</f>
        <v>0</v>
      </c>
      <c r="E16" s="341"/>
      <c r="F16" s="342">
        <f ca="1">OFFSET('5チーム2回戦総当たりスケジュール作業表'!$B$5,1,4)</f>
        <v>0</v>
      </c>
      <c r="G16" s="343">
        <f ca="1">OFFSET('5チーム2回戦総当たりスケジュール作業表'!$B$5,1,7)</f>
        <v>0</v>
      </c>
      <c r="H16" s="341"/>
      <c r="I16" s="343">
        <f ca="1">OFFSET('5チーム2回戦総当たりスケジュール作業表'!$B$5,1,8)</f>
        <v>0</v>
      </c>
      <c r="J16" s="352" t="e">
        <f ca="1">IF(#REF!=0,0,OFFSET('5チーム2回戦総当たりスケジュール作業表'!$B$5,1,11))</f>
        <v>#REF!</v>
      </c>
    </row>
    <row r="17" spans="1:10" ht="35.1" customHeight="1" x14ac:dyDescent="0.15">
      <c r="A17" s="614">
        <f>'5チーム2回戦総当たりスケジュール作業表'!$A12</f>
        <v>7</v>
      </c>
      <c r="B17" s="615">
        <f>'5チーム2回戦総当たりスケジュール作業表'!$B12</f>
        <v>45232</v>
      </c>
      <c r="C17" s="28" t="str">
        <f>'5チーム2回戦総当たりスケジュール作業表'!$P$1</f>
        <v>西</v>
      </c>
      <c r="D17" s="29" t="str">
        <f ca="1">OFFSET('5チーム2回戦総当たりスケジュール作業表'!$B$5,7,1)</f>
        <v>飛杉田新地</v>
      </c>
      <c r="E17" s="30" t="s">
        <v>0</v>
      </c>
      <c r="F17" s="31" t="str">
        <f ca="1">OFFSET('5チーム2回戦総当たりスケジュール作業表'!$B$5,7,2)</f>
        <v>T-25</v>
      </c>
      <c r="G17" s="32" t="str">
        <f ca="1">OFFSET('5チーム2回戦総当たりスケジュール作業表'!$B$5,7,5)</f>
        <v>PURE</v>
      </c>
      <c r="H17" s="30" t="s">
        <v>0</v>
      </c>
      <c r="I17" s="32" t="str">
        <f ca="1">OFFSET('5チーム2回戦総当たりスケジュール作業表'!$B$5,7,6)</f>
        <v>うなぎ</v>
      </c>
      <c r="J17" s="353" t="str">
        <f ca="1">OFFSET('5チーム2回戦総当たりスケジュール作業表'!$B$5,7,9)</f>
        <v>Etelia</v>
      </c>
    </row>
    <row r="18" spans="1:10" ht="24.95" hidden="1" customHeight="1" x14ac:dyDescent="0.15">
      <c r="A18" s="614"/>
      <c r="B18" s="615"/>
      <c r="C18" s="28" t="str">
        <f>'5チーム2回戦総当たりスケジュール作業表'!$P$1</f>
        <v>西</v>
      </c>
      <c r="D18" s="29">
        <f ca="1">OFFSET('5チーム2回戦総当たりスケジュール作業表'!$B$5,2,3)</f>
        <v>0</v>
      </c>
      <c r="E18" s="30"/>
      <c r="F18" s="31">
        <f ca="1">OFFSET('5チーム2回戦総当たりスケジュール作業表'!$B$5,2,4)</f>
        <v>0</v>
      </c>
      <c r="G18" s="32">
        <f ca="1">OFFSET('5チーム2回戦総当たりスケジュール作業表'!$B$5,2,7)</f>
        <v>0</v>
      </c>
      <c r="H18" s="30"/>
      <c r="I18" s="32">
        <f ca="1">OFFSET('5チーム2回戦総当たりスケジュール作業表'!$B$5,2,8)</f>
        <v>0</v>
      </c>
      <c r="J18" s="353" t="e">
        <f ca="1">IF(#REF!=0,0,OFFSET('5チーム2回戦総当たりスケジュール作業表'!$B$5,2,11))</f>
        <v>#REF!</v>
      </c>
    </row>
    <row r="19" spans="1:10" ht="35.1" customHeight="1" x14ac:dyDescent="0.15">
      <c r="A19" s="608">
        <f>'5チーム2回戦総当たりスケジュール作業表'!$A13</f>
        <v>8</v>
      </c>
      <c r="B19" s="609">
        <f>'5チーム2回戦総当たりスケジュール作業表'!$B13</f>
        <v>45239</v>
      </c>
      <c r="C19" s="330" t="str">
        <f>'5チーム2回戦総当たりスケジュール作業表'!$P$1</f>
        <v>西</v>
      </c>
      <c r="D19" s="331" t="str">
        <f ca="1">OFFSET('5チーム2回戦総当たりスケジュール作業表'!$B$5,8,1)</f>
        <v>T-25</v>
      </c>
      <c r="E19" s="332" t="s">
        <v>0</v>
      </c>
      <c r="F19" s="333" t="str">
        <f ca="1">OFFSET('5チーム2回戦総当たりスケジュール作業表'!$B$5,8,2)</f>
        <v>PURE</v>
      </c>
      <c r="G19" s="334" t="str">
        <f ca="1">OFFSET('5チーム2回戦総当たりスケジュール作業表'!$B$5,8,5)</f>
        <v>飛杉田新地</v>
      </c>
      <c r="H19" s="332" t="s">
        <v>0</v>
      </c>
      <c r="I19" s="334" t="str">
        <f ca="1">OFFSET('5チーム2回戦総当たりスケジュール作業表'!$B$5,8,6)</f>
        <v>Etelia</v>
      </c>
      <c r="J19" s="353" t="str">
        <f ca="1">OFFSET('5チーム2回戦総当たりスケジュール作業表'!$B$5,8,9)</f>
        <v>うなぎ</v>
      </c>
    </row>
    <row r="20" spans="1:10" ht="24.95" hidden="1" customHeight="1" x14ac:dyDescent="0.15">
      <c r="A20" s="608"/>
      <c r="B20" s="609"/>
      <c r="C20" s="330" t="str">
        <f>'5チーム2回戦総当たりスケジュール作業表'!$P$1</f>
        <v>西</v>
      </c>
      <c r="D20" s="335">
        <f ca="1">OFFSET('5チーム2回戦総当たりスケジュール作業表'!$B$5,3,3)</f>
        <v>0</v>
      </c>
      <c r="E20" s="336"/>
      <c r="F20" s="337">
        <f ca="1">OFFSET('5チーム2回戦総当たりスケジュール作業表'!$B$5,3,4)</f>
        <v>0</v>
      </c>
      <c r="G20" s="338">
        <f ca="1">OFFSET('5チーム2回戦総当たりスケジュール作業表'!$B$5,3,7)</f>
        <v>0</v>
      </c>
      <c r="H20" s="336"/>
      <c r="I20" s="338">
        <f ca="1">OFFSET('5チーム2回戦総当たりスケジュール作業表'!$B$5,3,8)</f>
        <v>0</v>
      </c>
      <c r="J20" s="353" t="e">
        <f ca="1">IF(#REF!=0,0,OFFSET('5チーム2回戦総当たりスケジュール作業表'!$B$5,3,11))</f>
        <v>#REF!</v>
      </c>
    </row>
    <row r="21" spans="1:10" ht="35.1" customHeight="1" x14ac:dyDescent="0.15">
      <c r="A21" s="614">
        <f>'5チーム2回戦総当たりスケジュール作業表'!$A14</f>
        <v>9</v>
      </c>
      <c r="B21" s="615">
        <f>'5チーム2回戦総当たりスケジュール作業表'!$B14</f>
        <v>45246</v>
      </c>
      <c r="C21" s="28" t="str">
        <f>'5チーム2回戦総当たりスケジュール作業表'!$P$1</f>
        <v>西</v>
      </c>
      <c r="D21" s="29" t="str">
        <f ca="1">OFFSET('5チーム2回戦総当たりスケジュール作業表'!$B$5,9,1)</f>
        <v>T-25</v>
      </c>
      <c r="E21" s="30" t="s">
        <v>0</v>
      </c>
      <c r="F21" s="31" t="str">
        <f ca="1">OFFSET('5チーム2回戦総当たりスケジュール作業表'!$B$5,9,2)</f>
        <v>うなぎ</v>
      </c>
      <c r="G21" s="32" t="str">
        <f ca="1">OFFSET('5チーム2回戦総当たりスケジュール作業表'!$B$5,9,5)</f>
        <v>PURE</v>
      </c>
      <c r="H21" s="30" t="s">
        <v>0</v>
      </c>
      <c r="I21" s="32" t="str">
        <f ca="1">OFFSET('5チーム2回戦総当たりスケジュール作業表'!$B$5,9,6)</f>
        <v>Etelia</v>
      </c>
      <c r="J21" s="353" t="str">
        <f ca="1">OFFSET('5チーム2回戦総当たりスケジュール作業表'!$B$5,9,9)</f>
        <v>飛杉田新地</v>
      </c>
    </row>
    <row r="22" spans="1:10" ht="24.95" hidden="1" customHeight="1" x14ac:dyDescent="0.15">
      <c r="A22" s="614"/>
      <c r="B22" s="615"/>
      <c r="C22" s="28" t="str">
        <f>'5チーム2回戦総当たりスケジュール作業表'!$P$1</f>
        <v>西</v>
      </c>
      <c r="D22" s="29">
        <f ca="1">OFFSET('5チーム2回戦総当たりスケジュール作業表'!$B$5,4,3)</f>
        <v>0</v>
      </c>
      <c r="E22" s="30"/>
      <c r="F22" s="31">
        <f ca="1">OFFSET('5チーム2回戦総当たりスケジュール作業表'!$B$5,4,4)</f>
        <v>0</v>
      </c>
      <c r="G22" s="32">
        <f ca="1">OFFSET('5チーム2回戦総当たりスケジュール作業表'!$B$5,4,7)</f>
        <v>0</v>
      </c>
      <c r="H22" s="30"/>
      <c r="I22" s="32">
        <f ca="1">OFFSET('5チーム2回戦総当たりスケジュール作業表'!$B$5,4,8)</f>
        <v>0</v>
      </c>
      <c r="J22" s="353" t="e">
        <f ca="1">IF(#REF!=0,0,OFFSET('5チーム2回戦総当たりスケジュール作業表'!$B$5,4,11))</f>
        <v>#REF!</v>
      </c>
    </row>
    <row r="23" spans="1:10" ht="35.1" customHeight="1" thickBot="1" x14ac:dyDescent="0.2">
      <c r="A23" s="344">
        <f>'5チーム2回戦総当たりスケジュール作業表'!$A15</f>
        <v>10</v>
      </c>
      <c r="B23" s="345">
        <f>'5チーム2回戦総当たりスケジュール作業表'!$B15</f>
        <v>45253</v>
      </c>
      <c r="C23" s="346" t="str">
        <f>'5チーム2回戦総当たりスケジュール作業表'!$P$1</f>
        <v>西</v>
      </c>
      <c r="D23" s="347" t="str">
        <f ca="1">OFFSET('5チーム2回戦総当たりスケジュール作業表'!$B$5,10,1)</f>
        <v>PURE</v>
      </c>
      <c r="E23" s="348" t="s">
        <v>0</v>
      </c>
      <c r="F23" s="349" t="str">
        <f ca="1">OFFSET('5チーム2回戦総当たりスケジュール作業表'!$B$5,10,2)</f>
        <v>飛杉田新地</v>
      </c>
      <c r="G23" s="350" t="str">
        <f ca="1">OFFSET('5チーム2回戦総当たりスケジュール作業表'!$B$5,10,5)</f>
        <v>うなぎ</v>
      </c>
      <c r="H23" s="348" t="s">
        <v>0</v>
      </c>
      <c r="I23" s="350" t="str">
        <f ca="1">OFFSET('5チーム2回戦総当たりスケジュール作業表'!$B$5,10,6)</f>
        <v>Etelia</v>
      </c>
      <c r="J23" s="354" t="str">
        <f ca="1">OFFSET('5チーム2回戦総当たりスケジュール作業表'!$B$5,10,9)</f>
        <v>T-25</v>
      </c>
    </row>
    <row r="24" spans="1:10" ht="15" customHeight="1" x14ac:dyDescent="0.15">
      <c r="B24" s="11"/>
    </row>
    <row r="25" spans="1:10" s="15" customFormat="1" ht="15.95" customHeight="1" x14ac:dyDescent="0.15">
      <c r="A25" s="14"/>
      <c r="D25" s="95"/>
      <c r="E25" s="16"/>
      <c r="F25" s="17" t="s">
        <v>117</v>
      </c>
      <c r="G25" s="14"/>
      <c r="H25" s="14"/>
      <c r="I25" s="14"/>
      <c r="J25" s="355"/>
    </row>
    <row r="26" spans="1:10" s="15" customFormat="1" ht="15.95" customHeight="1" x14ac:dyDescent="0.15">
      <c r="A26" s="14"/>
      <c r="D26" s="95"/>
      <c r="E26" s="16"/>
      <c r="F26" s="17" t="s">
        <v>118</v>
      </c>
      <c r="G26" s="14"/>
      <c r="H26" s="14"/>
      <c r="I26" s="14"/>
      <c r="J26" s="14"/>
    </row>
    <row r="27" spans="1:10" s="15" customFormat="1" ht="15.95" customHeight="1" x14ac:dyDescent="0.15">
      <c r="A27" s="14"/>
      <c r="D27" s="95"/>
      <c r="E27" s="16"/>
      <c r="F27" s="17" t="s">
        <v>119</v>
      </c>
      <c r="G27" s="14"/>
      <c r="H27" s="14"/>
      <c r="I27" s="14"/>
      <c r="J27" s="14"/>
    </row>
    <row r="28" spans="1:10" s="15" customFormat="1" ht="15.95" customHeight="1" x14ac:dyDescent="0.15">
      <c r="A28" s="14"/>
      <c r="D28" s="95"/>
      <c r="E28" s="16"/>
      <c r="F28" s="17" t="s">
        <v>120</v>
      </c>
      <c r="G28" s="14"/>
      <c r="H28" s="14"/>
      <c r="I28" s="14"/>
      <c r="J28" s="14"/>
    </row>
    <row r="29" spans="1:10" s="15" customFormat="1" ht="15.95" customHeight="1" x14ac:dyDescent="0.15">
      <c r="A29" s="14"/>
      <c r="D29" s="95"/>
      <c r="E29" s="16"/>
      <c r="F29" s="17" t="s">
        <v>121</v>
      </c>
      <c r="G29" s="14"/>
      <c r="H29" s="14"/>
      <c r="I29" s="14"/>
      <c r="J29" s="14"/>
    </row>
    <row r="30" spans="1:10" s="15" customFormat="1" ht="15.95" customHeight="1" x14ac:dyDescent="0.15">
      <c r="A30" s="14"/>
      <c r="D30" s="95"/>
      <c r="E30" s="16"/>
      <c r="F30" s="17" t="s">
        <v>122</v>
      </c>
      <c r="G30" s="14"/>
      <c r="H30" s="14"/>
      <c r="I30" s="14"/>
      <c r="J30" s="14"/>
    </row>
    <row r="31" spans="1:10" s="15" customFormat="1" ht="15.95" customHeight="1" x14ac:dyDescent="0.15">
      <c r="A31" s="14"/>
      <c r="D31" s="95"/>
      <c r="E31" s="16"/>
      <c r="F31" s="17" t="s">
        <v>129</v>
      </c>
      <c r="G31" s="14"/>
      <c r="H31" s="14"/>
      <c r="I31" s="14"/>
      <c r="J31" s="14"/>
    </row>
    <row r="32" spans="1:10" s="15" customFormat="1" ht="15.95" customHeight="1" x14ac:dyDescent="0.15">
      <c r="A32" s="14"/>
      <c r="D32" s="95"/>
      <c r="E32" s="16"/>
      <c r="F32" s="17"/>
      <c r="G32" s="14"/>
      <c r="H32" s="14"/>
      <c r="I32" s="14"/>
      <c r="J32" s="14"/>
    </row>
  </sheetData>
  <sheetProtection algorithmName="SHA-512" hashValue="4GouO1vVG8hNIo855uohBPBsV+K8WUmxhk4/Us18lD3ExPCacddIWnebFO6wiItT1fNN6lkLH5d9LNE/yX+Waw==" saltValue="znxRuyxxsyQmgMvtHMZ8Bg==" spinCount="100000" sheet="1" formatCells="0"/>
  <mergeCells count="24">
    <mergeCell ref="D2:F2"/>
    <mergeCell ref="A1:J1"/>
    <mergeCell ref="A21:A22"/>
    <mergeCell ref="B21:B22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3:F3"/>
    <mergeCell ref="A4:C4"/>
    <mergeCell ref="D4:F4"/>
    <mergeCell ref="B13:B14"/>
    <mergeCell ref="A13:A14"/>
    <mergeCell ref="G4:I4"/>
    <mergeCell ref="A5:A6"/>
    <mergeCell ref="B5:B6"/>
    <mergeCell ref="A7:A8"/>
    <mergeCell ref="B7:B8"/>
  </mergeCells>
  <phoneticPr fontId="21"/>
  <printOptions horizontalCentered="1"/>
  <pageMargins left="0.39370078740157483" right="0.39370078740157483" top="0.59055118110236227" bottom="0" header="0" footer="0.2362204724409449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0"/>
  <sheetViews>
    <sheetView workbookViewId="0">
      <selection activeCell="H17" sqref="H17"/>
    </sheetView>
  </sheetViews>
  <sheetFormatPr defaultRowHeight="14.25" x14ac:dyDescent="0.15"/>
  <cols>
    <col min="1" max="1" width="9.140625" style="96"/>
    <col min="2" max="2" width="7.42578125" style="102" bestFit="1" customWidth="1"/>
    <col min="3" max="14" width="6.7109375" style="102" customWidth="1"/>
    <col min="15" max="23" width="2.7109375" style="96" customWidth="1"/>
    <col min="24" max="24" width="10" style="96" bestFit="1" customWidth="1"/>
    <col min="25" max="25" width="9.140625" style="96"/>
    <col min="26" max="26" width="4.7109375" style="96" customWidth="1"/>
    <col min="27" max="16384" width="9.140625" style="96"/>
  </cols>
  <sheetData>
    <row r="1" spans="1:24" ht="20.100000000000001" customHeight="1" x14ac:dyDescent="0.15">
      <c r="B1" s="97" t="s">
        <v>8</v>
      </c>
      <c r="C1" s="98" t="s">
        <v>136</v>
      </c>
      <c r="D1" s="99" t="s">
        <v>9</v>
      </c>
      <c r="E1" s="98">
        <v>2023</v>
      </c>
      <c r="F1" s="99" t="s">
        <v>9</v>
      </c>
      <c r="G1" s="100" t="s">
        <v>123</v>
      </c>
      <c r="H1" s="99" t="s">
        <v>9</v>
      </c>
      <c r="I1" s="100" t="s">
        <v>124</v>
      </c>
      <c r="J1" s="99" t="s">
        <v>9</v>
      </c>
      <c r="K1" s="100" t="s">
        <v>137</v>
      </c>
      <c r="L1" s="101" t="s">
        <v>10</v>
      </c>
      <c r="M1" s="312" t="s">
        <v>8</v>
      </c>
      <c r="N1" s="380" t="s">
        <v>138</v>
      </c>
      <c r="O1" s="99" t="s">
        <v>9</v>
      </c>
      <c r="P1" s="379" t="s">
        <v>132</v>
      </c>
      <c r="Q1" s="379" t="s">
        <v>133</v>
      </c>
      <c r="R1" s="101" t="s">
        <v>10</v>
      </c>
    </row>
    <row r="2" spans="1:24" x14ac:dyDescent="0.15">
      <c r="B2" s="96"/>
      <c r="C2" s="96"/>
      <c r="O2" s="102"/>
      <c r="P2" s="102" t="s">
        <v>134</v>
      </c>
      <c r="Q2" s="102" t="s">
        <v>135</v>
      </c>
      <c r="R2" s="102"/>
    </row>
    <row r="3" spans="1:24" x14ac:dyDescent="0.15">
      <c r="B3" s="96" t="s">
        <v>110</v>
      </c>
      <c r="C3" s="103" t="s">
        <v>139</v>
      </c>
      <c r="D3" s="104" t="s">
        <v>107</v>
      </c>
      <c r="E3" s="104"/>
      <c r="F3" s="105"/>
      <c r="G3" s="103" t="s">
        <v>145</v>
      </c>
      <c r="H3" s="104" t="s">
        <v>107</v>
      </c>
      <c r="I3" s="104"/>
      <c r="J3" s="105"/>
      <c r="K3" s="103"/>
      <c r="L3" s="104" t="s">
        <v>107</v>
      </c>
      <c r="M3" s="104"/>
      <c r="N3" s="105"/>
      <c r="O3" s="102"/>
      <c r="P3" s="102"/>
      <c r="Q3" s="102"/>
    </row>
    <row r="4" spans="1:24" ht="15" thickBot="1" x14ac:dyDescent="0.2">
      <c r="B4" s="102" t="s">
        <v>114</v>
      </c>
      <c r="C4" s="106" t="s">
        <v>108</v>
      </c>
      <c r="D4" s="107"/>
      <c r="E4" s="107"/>
      <c r="F4" s="108"/>
      <c r="G4" s="106" t="s">
        <v>109</v>
      </c>
      <c r="H4" s="107"/>
      <c r="I4" s="107"/>
      <c r="J4" s="108"/>
      <c r="K4" s="106"/>
      <c r="L4" s="107"/>
      <c r="M4" s="107"/>
      <c r="N4" s="108"/>
    </row>
    <row r="5" spans="1:24" x14ac:dyDescent="0.15">
      <c r="A5" s="109"/>
      <c r="B5" s="110" t="s">
        <v>11</v>
      </c>
      <c r="C5" s="631">
        <v>1</v>
      </c>
      <c r="D5" s="632"/>
      <c r="E5" s="631">
        <v>2</v>
      </c>
      <c r="F5" s="632"/>
      <c r="G5" s="631">
        <v>3</v>
      </c>
      <c r="H5" s="632"/>
      <c r="I5" s="631">
        <v>4</v>
      </c>
      <c r="J5" s="632"/>
      <c r="K5" s="631" t="s">
        <v>111</v>
      </c>
      <c r="L5" s="632"/>
      <c r="M5" s="631"/>
      <c r="N5" s="632"/>
      <c r="W5" s="111"/>
      <c r="X5" s="112" t="s">
        <v>40</v>
      </c>
    </row>
    <row r="6" spans="1:24" x14ac:dyDescent="0.15">
      <c r="A6" s="113">
        <v>1</v>
      </c>
      <c r="B6" s="114">
        <v>45190</v>
      </c>
      <c r="C6" s="115" t="str">
        <f>$X$6</f>
        <v>T-25</v>
      </c>
      <c r="D6" s="116" t="str">
        <f>$X$7</f>
        <v>Etelia</v>
      </c>
      <c r="E6" s="117"/>
      <c r="F6" s="118"/>
      <c r="G6" s="115" t="str">
        <f>$X$8</f>
        <v>うなぎ</v>
      </c>
      <c r="H6" s="116" t="str">
        <f>$X$9</f>
        <v>飛杉田新地</v>
      </c>
      <c r="I6" s="117"/>
      <c r="J6" s="118"/>
      <c r="K6" s="115" t="str">
        <f>$X$10</f>
        <v>PURE</v>
      </c>
      <c r="L6" s="116">
        <f t="shared" ref="L6:L15" si="0">$X$11</f>
        <v>0</v>
      </c>
      <c r="M6" s="117"/>
      <c r="N6" s="118"/>
      <c r="W6" s="119" t="s">
        <v>1</v>
      </c>
      <c r="X6" s="120" t="s">
        <v>144</v>
      </c>
    </row>
    <row r="7" spans="1:24" x14ac:dyDescent="0.15">
      <c r="A7" s="113">
        <v>2</v>
      </c>
      <c r="B7" s="121">
        <f>B6+7</f>
        <v>45197</v>
      </c>
      <c r="C7" s="115" t="str">
        <f>$X$7</f>
        <v>Etelia</v>
      </c>
      <c r="D7" s="116" t="str">
        <f>$X$9</f>
        <v>飛杉田新地</v>
      </c>
      <c r="E7" s="117"/>
      <c r="F7" s="118"/>
      <c r="G7" s="115" t="str">
        <f>$X$10</f>
        <v>PURE</v>
      </c>
      <c r="H7" s="116" t="str">
        <f>$X$6</f>
        <v>T-25</v>
      </c>
      <c r="I7" s="117"/>
      <c r="J7" s="118"/>
      <c r="K7" s="115" t="str">
        <f>$X$8</f>
        <v>うなぎ</v>
      </c>
      <c r="L7" s="116">
        <f t="shared" si="0"/>
        <v>0</v>
      </c>
      <c r="M7" s="117"/>
      <c r="N7" s="118"/>
      <c r="W7" s="119" t="s">
        <v>2</v>
      </c>
      <c r="X7" s="120" t="s">
        <v>140</v>
      </c>
    </row>
    <row r="8" spans="1:24" x14ac:dyDescent="0.15">
      <c r="A8" s="113">
        <v>3</v>
      </c>
      <c r="B8" s="121">
        <f>B7+7</f>
        <v>45204</v>
      </c>
      <c r="C8" s="122" t="str">
        <f>$X$6</f>
        <v>T-25</v>
      </c>
      <c r="D8" s="123" t="str">
        <f>$X$9</f>
        <v>飛杉田新地</v>
      </c>
      <c r="E8" s="124"/>
      <c r="F8" s="125"/>
      <c r="G8" s="122" t="str">
        <f>$X$8</f>
        <v>うなぎ</v>
      </c>
      <c r="H8" s="123" t="str">
        <f>$X$10</f>
        <v>PURE</v>
      </c>
      <c r="I8" s="124"/>
      <c r="J8" s="125"/>
      <c r="K8" s="122" t="str">
        <f>$X$7</f>
        <v>Etelia</v>
      </c>
      <c r="L8" s="123">
        <f t="shared" si="0"/>
        <v>0</v>
      </c>
      <c r="M8" s="124"/>
      <c r="N8" s="125"/>
      <c r="W8" s="119" t="s">
        <v>3</v>
      </c>
      <c r="X8" s="120" t="s">
        <v>141</v>
      </c>
    </row>
    <row r="9" spans="1:24" x14ac:dyDescent="0.15">
      <c r="A9" s="113">
        <v>4</v>
      </c>
      <c r="B9" s="121">
        <f>B8+7</f>
        <v>45211</v>
      </c>
      <c r="C9" s="115" t="str">
        <f>$X$7</f>
        <v>Etelia</v>
      </c>
      <c r="D9" s="116" t="str">
        <f>$X$10</f>
        <v>PURE</v>
      </c>
      <c r="E9" s="117"/>
      <c r="F9" s="118"/>
      <c r="G9" s="115" t="str">
        <f>$X$8</f>
        <v>うなぎ</v>
      </c>
      <c r="H9" s="116" t="str">
        <f>$X$6</f>
        <v>T-25</v>
      </c>
      <c r="I9" s="117"/>
      <c r="J9" s="118"/>
      <c r="K9" s="115" t="str">
        <f>$X$9</f>
        <v>飛杉田新地</v>
      </c>
      <c r="L9" s="116">
        <f t="shared" si="0"/>
        <v>0</v>
      </c>
      <c r="M9" s="117"/>
      <c r="N9" s="118"/>
      <c r="W9" s="119" t="s">
        <v>4</v>
      </c>
      <c r="X9" s="120" t="s">
        <v>143</v>
      </c>
    </row>
    <row r="10" spans="1:24" x14ac:dyDescent="0.15">
      <c r="A10" s="113">
        <v>5</v>
      </c>
      <c r="B10" s="121">
        <f t="shared" ref="B10:B14" si="1">B9+7</f>
        <v>45218</v>
      </c>
      <c r="C10" s="115" t="str">
        <f>$X$9</f>
        <v>飛杉田新地</v>
      </c>
      <c r="D10" s="116" t="str">
        <f>$X$10</f>
        <v>PURE</v>
      </c>
      <c r="E10" s="117"/>
      <c r="F10" s="118"/>
      <c r="G10" s="115" t="str">
        <f>$X$7</f>
        <v>Etelia</v>
      </c>
      <c r="H10" s="116" t="str">
        <f>$X$8</f>
        <v>うなぎ</v>
      </c>
      <c r="I10" s="117"/>
      <c r="J10" s="118"/>
      <c r="K10" s="115" t="str">
        <f>$X$6</f>
        <v>T-25</v>
      </c>
      <c r="L10" s="116">
        <f t="shared" si="0"/>
        <v>0</v>
      </c>
      <c r="M10" s="117"/>
      <c r="N10" s="118"/>
      <c r="W10" s="119" t="s">
        <v>5</v>
      </c>
      <c r="X10" s="120" t="s">
        <v>142</v>
      </c>
    </row>
    <row r="11" spans="1:24" x14ac:dyDescent="0.15">
      <c r="A11" s="113">
        <v>6</v>
      </c>
      <c r="B11" s="121">
        <f t="shared" si="1"/>
        <v>45225</v>
      </c>
      <c r="C11" s="126" t="str">
        <f>$X$7</f>
        <v>Etelia</v>
      </c>
      <c r="D11" s="127" t="str">
        <f>$X$6</f>
        <v>T-25</v>
      </c>
      <c r="E11" s="117"/>
      <c r="F11" s="118"/>
      <c r="G11" s="126" t="str">
        <f>$X$9</f>
        <v>飛杉田新地</v>
      </c>
      <c r="H11" s="127" t="str">
        <f>$X$8</f>
        <v>うなぎ</v>
      </c>
      <c r="I11" s="117"/>
      <c r="J11" s="118"/>
      <c r="K11" s="115" t="str">
        <f>$X$10</f>
        <v>PURE</v>
      </c>
      <c r="L11" s="116">
        <f t="shared" si="0"/>
        <v>0</v>
      </c>
      <c r="M11" s="117"/>
      <c r="N11" s="118"/>
      <c r="W11" s="119"/>
      <c r="X11" s="120"/>
    </row>
    <row r="12" spans="1:24" x14ac:dyDescent="0.15">
      <c r="A12" s="113">
        <v>7</v>
      </c>
      <c r="B12" s="121">
        <f t="shared" si="1"/>
        <v>45232</v>
      </c>
      <c r="C12" s="126" t="str">
        <f>$X$9</f>
        <v>飛杉田新地</v>
      </c>
      <c r="D12" s="127" t="str">
        <f>$X$6</f>
        <v>T-25</v>
      </c>
      <c r="E12" s="117"/>
      <c r="F12" s="118"/>
      <c r="G12" s="126" t="str">
        <f>$X$10</f>
        <v>PURE</v>
      </c>
      <c r="H12" s="127" t="str">
        <f>$X$8</f>
        <v>うなぎ</v>
      </c>
      <c r="I12" s="117"/>
      <c r="J12" s="118"/>
      <c r="K12" s="115" t="str">
        <f>$X$7</f>
        <v>Etelia</v>
      </c>
      <c r="L12" s="116">
        <f t="shared" si="0"/>
        <v>0</v>
      </c>
      <c r="M12" s="117"/>
      <c r="N12" s="118"/>
      <c r="W12" s="119"/>
      <c r="X12" s="128"/>
    </row>
    <row r="13" spans="1:24" x14ac:dyDescent="0.15">
      <c r="A13" s="113">
        <v>8</v>
      </c>
      <c r="B13" s="121">
        <f t="shared" si="1"/>
        <v>45239</v>
      </c>
      <c r="C13" s="126" t="str">
        <f>$X$6</f>
        <v>T-25</v>
      </c>
      <c r="D13" s="127" t="str">
        <f>$X$10</f>
        <v>PURE</v>
      </c>
      <c r="E13" s="117"/>
      <c r="F13" s="118"/>
      <c r="G13" s="126" t="str">
        <f>$X$9</f>
        <v>飛杉田新地</v>
      </c>
      <c r="H13" s="127" t="str">
        <f>$X$7</f>
        <v>Etelia</v>
      </c>
      <c r="I13" s="117"/>
      <c r="J13" s="118"/>
      <c r="K13" s="115" t="str">
        <f>$X$8</f>
        <v>うなぎ</v>
      </c>
      <c r="L13" s="116">
        <f t="shared" si="0"/>
        <v>0</v>
      </c>
      <c r="M13" s="129"/>
      <c r="N13" s="130"/>
      <c r="W13" s="119"/>
      <c r="X13" s="131"/>
    </row>
    <row r="14" spans="1:24" x14ac:dyDescent="0.15">
      <c r="A14" s="113">
        <v>9</v>
      </c>
      <c r="B14" s="121">
        <f t="shared" si="1"/>
        <v>45246</v>
      </c>
      <c r="C14" s="126" t="str">
        <f>$X$6</f>
        <v>T-25</v>
      </c>
      <c r="D14" s="127" t="str">
        <f>$X$8</f>
        <v>うなぎ</v>
      </c>
      <c r="E14" s="117"/>
      <c r="F14" s="118"/>
      <c r="G14" s="126" t="str">
        <f>$X$10</f>
        <v>PURE</v>
      </c>
      <c r="H14" s="127" t="str">
        <f>$X$7</f>
        <v>Etelia</v>
      </c>
      <c r="I14" s="117"/>
      <c r="J14" s="118"/>
      <c r="K14" s="115" t="str">
        <f>$X$9</f>
        <v>飛杉田新地</v>
      </c>
      <c r="L14" s="116">
        <f t="shared" si="0"/>
        <v>0</v>
      </c>
      <c r="M14" s="129"/>
      <c r="N14" s="130"/>
      <c r="W14" s="119"/>
      <c r="X14" s="131"/>
    </row>
    <row r="15" spans="1:24" x14ac:dyDescent="0.15">
      <c r="A15" s="113">
        <v>10</v>
      </c>
      <c r="B15" s="121">
        <f>B14+7</f>
        <v>45253</v>
      </c>
      <c r="C15" s="126" t="str">
        <f>$X$10</f>
        <v>PURE</v>
      </c>
      <c r="D15" s="127" t="str">
        <f>$X$9</f>
        <v>飛杉田新地</v>
      </c>
      <c r="E15" s="117"/>
      <c r="F15" s="118"/>
      <c r="G15" s="126" t="str">
        <f>$X$8</f>
        <v>うなぎ</v>
      </c>
      <c r="H15" s="127" t="str">
        <f>$X$7</f>
        <v>Etelia</v>
      </c>
      <c r="I15" s="117"/>
      <c r="J15" s="118"/>
      <c r="K15" s="115" t="str">
        <f>$X$6</f>
        <v>T-25</v>
      </c>
      <c r="L15" s="116">
        <f t="shared" si="0"/>
        <v>0</v>
      </c>
      <c r="M15" s="129"/>
      <c r="N15" s="130"/>
      <c r="W15" s="119"/>
      <c r="X15" s="131"/>
    </row>
    <row r="16" spans="1:24" x14ac:dyDescent="0.15">
      <c r="A16" s="113"/>
      <c r="B16" s="121"/>
      <c r="C16" s="115"/>
      <c r="D16" s="116"/>
      <c r="E16" s="117"/>
      <c r="F16" s="118"/>
      <c r="G16" s="115"/>
      <c r="H16" s="116"/>
      <c r="I16" s="117"/>
      <c r="J16" s="118"/>
      <c r="K16" s="115"/>
      <c r="L16" s="116"/>
      <c r="M16" s="129"/>
      <c r="N16" s="130"/>
      <c r="W16" s="119"/>
      <c r="X16" s="131"/>
    </row>
    <row r="17" spans="1:24" x14ac:dyDescent="0.15">
      <c r="A17" s="132"/>
      <c r="B17" s="133"/>
      <c r="L17" s="116"/>
      <c r="M17" s="129"/>
      <c r="N17" s="130"/>
      <c r="W17" s="119"/>
      <c r="X17" s="131"/>
    </row>
    <row r="18" spans="1:24" x14ac:dyDescent="0.15">
      <c r="A18" s="132"/>
      <c r="B18" s="133"/>
      <c r="C18" s="115"/>
      <c r="D18" s="116"/>
      <c r="E18" s="117"/>
      <c r="F18" s="118"/>
      <c r="G18" s="115"/>
      <c r="H18" s="116"/>
      <c r="I18" s="117"/>
      <c r="J18" s="118"/>
      <c r="K18" s="115"/>
      <c r="L18" s="116"/>
      <c r="M18" s="129"/>
      <c r="N18" s="130"/>
      <c r="W18" s="119"/>
      <c r="X18" s="131"/>
    </row>
    <row r="19" spans="1:24" x14ac:dyDescent="0.15">
      <c r="A19" s="132"/>
      <c r="B19" s="133"/>
      <c r="C19" s="115"/>
      <c r="D19" s="116"/>
      <c r="E19" s="117"/>
      <c r="F19" s="118"/>
      <c r="G19" s="115"/>
      <c r="H19" s="116"/>
      <c r="I19" s="117"/>
      <c r="J19" s="118"/>
      <c r="K19" s="115"/>
      <c r="L19" s="116"/>
      <c r="M19" s="129"/>
      <c r="N19" s="130"/>
      <c r="W19" s="119"/>
      <c r="X19" s="131"/>
    </row>
    <row r="20" spans="1:24" x14ac:dyDescent="0.15">
      <c r="A20" s="132"/>
      <c r="B20" s="133"/>
      <c r="C20" s="115"/>
      <c r="D20" s="116"/>
      <c r="E20" s="117"/>
      <c r="F20" s="118"/>
      <c r="G20" s="115"/>
      <c r="H20" s="116"/>
      <c r="I20" s="117"/>
      <c r="J20" s="118"/>
      <c r="K20" s="115"/>
      <c r="L20" s="116"/>
      <c r="M20" s="129"/>
      <c r="N20" s="130"/>
      <c r="W20" s="119"/>
      <c r="X20" s="131"/>
    </row>
    <row r="21" spans="1:24" ht="15" thickBot="1" x14ac:dyDescent="0.2">
      <c r="A21" s="134"/>
      <c r="B21" s="135"/>
      <c r="C21" s="136"/>
      <c r="D21" s="137"/>
      <c r="E21" s="138"/>
      <c r="F21" s="139"/>
      <c r="G21" s="136"/>
      <c r="H21" s="137"/>
      <c r="I21" s="138"/>
      <c r="J21" s="139"/>
      <c r="K21" s="136"/>
      <c r="L21" s="137"/>
      <c r="M21" s="140"/>
      <c r="N21" s="141"/>
      <c r="W21" s="142"/>
      <c r="X21" s="143"/>
    </row>
    <row r="22" spans="1:24" x14ac:dyDescent="0.15">
      <c r="A22" s="144"/>
    </row>
    <row r="23" spans="1:24" x14ac:dyDescent="0.15">
      <c r="A23" s="145"/>
    </row>
    <row r="24" spans="1:24" x14ac:dyDescent="0.15">
      <c r="A24" s="145"/>
    </row>
    <row r="25" spans="1:24" x14ac:dyDescent="0.15">
      <c r="A25" s="145"/>
    </row>
    <row r="26" spans="1:24" x14ac:dyDescent="0.15">
      <c r="B26" s="146" t="str">
        <f>$X$6</f>
        <v>T-25</v>
      </c>
      <c r="C26" s="146">
        <f>COUNTIF($C$6:$F$20,$X$6)</f>
        <v>6</v>
      </c>
      <c r="D26" s="146"/>
      <c r="E26" s="146"/>
      <c r="F26" s="146"/>
      <c r="G26" s="146">
        <f>COUNTIF($G$6:$J$20,$X$6)</f>
        <v>2</v>
      </c>
      <c r="H26" s="146"/>
      <c r="I26" s="146"/>
      <c r="J26" s="146"/>
      <c r="K26" s="146">
        <f>COUNTIF($K$6:$L$20,$X$6)</f>
        <v>2</v>
      </c>
      <c r="L26" s="146"/>
      <c r="M26" s="146">
        <f>SUM(C26:K26)</f>
        <v>10</v>
      </c>
      <c r="N26" s="146"/>
    </row>
    <row r="27" spans="1:24" x14ac:dyDescent="0.15">
      <c r="B27" s="146" t="str">
        <f>$X$7</f>
        <v>Etelia</v>
      </c>
      <c r="C27" s="146">
        <f>COUNTIF($C$6:$F$20,$X$6)</f>
        <v>6</v>
      </c>
      <c r="D27" s="146"/>
      <c r="E27" s="146"/>
      <c r="F27" s="146"/>
      <c r="G27" s="146">
        <f>COUNTIF($G$6:$J$20,$X$6)</f>
        <v>2</v>
      </c>
      <c r="H27" s="146"/>
      <c r="I27" s="146"/>
      <c r="J27" s="146"/>
      <c r="K27" s="146">
        <f>COUNTIF($K$6:$L$20,$X$6)</f>
        <v>2</v>
      </c>
      <c r="L27" s="146"/>
      <c r="M27" s="146">
        <f t="shared" ref="M27:M30" si="2">SUM(C27:K27)</f>
        <v>10</v>
      </c>
      <c r="N27" s="146"/>
    </row>
    <row r="28" spans="1:24" x14ac:dyDescent="0.15">
      <c r="B28" s="146" t="str">
        <f>$X$8</f>
        <v>うなぎ</v>
      </c>
      <c r="C28" s="146">
        <f>COUNTIF($C$6:$F$20,$X$8)</f>
        <v>1</v>
      </c>
      <c r="D28" s="146"/>
      <c r="E28" s="146"/>
      <c r="F28" s="146"/>
      <c r="G28" s="146">
        <f>COUNTIF($G$6:$J$20,$X$8)</f>
        <v>7</v>
      </c>
      <c r="H28" s="146"/>
      <c r="I28" s="146"/>
      <c r="J28" s="146"/>
      <c r="K28" s="146">
        <f>COUNTIF($K$6:$L$20,$X$8)</f>
        <v>2</v>
      </c>
      <c r="L28" s="146"/>
      <c r="M28" s="146">
        <f t="shared" si="2"/>
        <v>10</v>
      </c>
      <c r="N28" s="146"/>
    </row>
    <row r="29" spans="1:24" x14ac:dyDescent="0.15">
      <c r="B29" s="146" t="str">
        <f>$X$9</f>
        <v>飛杉田新地</v>
      </c>
      <c r="C29" s="146">
        <f>COUNTIF($C$6:$F$20,$X$9)</f>
        <v>5</v>
      </c>
      <c r="D29" s="146"/>
      <c r="E29" s="146"/>
      <c r="F29" s="146"/>
      <c r="G29" s="146">
        <f>COUNTIF($G$6:$J$20,$X$9)</f>
        <v>3</v>
      </c>
      <c r="H29" s="146"/>
      <c r="I29" s="146"/>
      <c r="J29" s="146"/>
      <c r="K29" s="146">
        <f>COUNTIF($K$6:$L$20,$X$9)</f>
        <v>2</v>
      </c>
      <c r="L29" s="146"/>
      <c r="M29" s="146">
        <f t="shared" si="2"/>
        <v>10</v>
      </c>
      <c r="N29" s="146"/>
    </row>
    <row r="30" spans="1:24" x14ac:dyDescent="0.15">
      <c r="B30" s="146" t="str">
        <f>$X$10</f>
        <v>PURE</v>
      </c>
      <c r="C30" s="146">
        <f>COUNTIF($C$6:$F$20,$X$10)</f>
        <v>4</v>
      </c>
      <c r="D30" s="146"/>
      <c r="E30" s="146"/>
      <c r="F30" s="146"/>
      <c r="G30" s="146">
        <f>COUNTIF($G$6:$J$20,$X$10)</f>
        <v>4</v>
      </c>
      <c r="H30" s="146"/>
      <c r="I30" s="146"/>
      <c r="J30" s="146"/>
      <c r="K30" s="146">
        <f>COUNTIF($K$6:$L$20,$X$10)</f>
        <v>2</v>
      </c>
      <c r="L30" s="146"/>
      <c r="M30" s="146">
        <f t="shared" si="2"/>
        <v>10</v>
      </c>
      <c r="N30" s="146"/>
    </row>
  </sheetData>
  <mergeCells count="6">
    <mergeCell ref="K5:L5"/>
    <mergeCell ref="M5:N5"/>
    <mergeCell ref="C5:D5"/>
    <mergeCell ref="E5:F5"/>
    <mergeCell ref="G5:H5"/>
    <mergeCell ref="I5:J5"/>
  </mergeCells>
  <phoneticPr fontId="2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対戦表 (手動)</vt:lpstr>
      <vt:lpstr>対戦表 (HP用)</vt:lpstr>
      <vt:lpstr>対戦表</vt:lpstr>
      <vt:lpstr>5チーム2回戦総当たり結果記入用</vt:lpstr>
      <vt:lpstr>記録用紙</vt:lpstr>
      <vt:lpstr>参加料受領確認書</vt:lpstr>
      <vt:lpstr>5チーム2回戦総当たり日程表(HP用)</vt:lpstr>
      <vt:lpstr>5チーム2回戦総当たり日程表(配布用)</vt:lpstr>
      <vt:lpstr>5チーム2回戦総当たりスケジュール作業表</vt:lpstr>
      <vt:lpstr>スケジュール作成上の注意</vt:lpstr>
      <vt:lpstr>'5チーム2回戦総当たり日程表(HP用)'!Print_Area</vt:lpstr>
      <vt:lpstr>'5チーム2回戦総当たり日程表(配布用)'!Print_Area</vt:lpstr>
      <vt:lpstr>対戦表!Print_Area</vt:lpstr>
      <vt:lpstr>'対戦表 (HP用)'!Print_Area</vt:lpstr>
      <vt:lpstr>'対戦表 (手動)'!Print_Area</vt:lpstr>
    </vt:vector>
  </TitlesOfParts>
  <Manager>©nishigai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</dc:creator>
  <dc:description>©nishigai　無断複製･転用禁止</dc:description>
  <cp:lastModifiedBy>s-pulseUSR394</cp:lastModifiedBy>
  <cp:lastPrinted>2023-11-16T14:25:16Z</cp:lastPrinted>
  <dcterms:created xsi:type="dcterms:W3CDTF">2009-06-17T09:11:33Z</dcterms:created>
  <dcterms:modified xsi:type="dcterms:W3CDTF">2023-11-23T13:50:12Z</dcterms:modified>
</cp:coreProperties>
</file>